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E3650BF3-EE2A-4C51-9029-59CD9BC8E3B5}" xr6:coauthVersionLast="47" xr6:coauthVersionMax="47" xr10:uidLastSave="{00000000-0000-0000-0000-000000000000}"/>
  <bookViews>
    <workbookView xWindow="-27068" yWindow="-4628" windowWidth="22890" windowHeight="14790" tabRatio="858" firstSheet="28" activeTab="36" xr2:uid="{00000000-000D-0000-FFFF-FFFF00000000}"/>
  </bookViews>
  <sheets>
    <sheet name="Cover Page" sheetId="67" r:id="rId1"/>
    <sheet name="ToC" sheetId="100" r:id="rId2"/>
    <sheet name="Formatting and References" sheetId="101" r:id="rId3"/>
    <sheet name="1-BaseTRR" sheetId="1" r:id="rId4"/>
    <sheet name="2-ITRR" sheetId="2" r:id="rId5"/>
    <sheet name="3-True-upTRR" sheetId="47" r:id="rId6"/>
    <sheet name="4-ATA" sheetId="5" r:id="rId7"/>
    <sheet name="5-CostofCap-1" sheetId="68" r:id="rId8"/>
    <sheet name="5-CostofCap-2" sheetId="69" r:id="rId9"/>
    <sheet name="5-CostofCap-3" sheetId="70" r:id="rId10"/>
    <sheet name="5-CostofCap-4" sheetId="71" r:id="rId11"/>
    <sheet name="6-PlantJurisdiction" sheetId="72" r:id="rId12"/>
    <sheet name="7-PlantInService" sheetId="73" r:id="rId13"/>
    <sheet name="8-AbandonedPlant" sheetId="102" r:id="rId14"/>
    <sheet name="9-PlantAdditions" sheetId="75" r:id="rId15"/>
    <sheet name="10-AccDep" sheetId="76" r:id="rId16"/>
    <sheet name="11-Depreciation" sheetId="77" r:id="rId17"/>
    <sheet name="12-DepRates" sheetId="78" r:id="rId18"/>
    <sheet name="13-WorkCap" sheetId="79" r:id="rId19"/>
    <sheet name="14-ADIT" sheetId="80" r:id="rId20"/>
    <sheet name="15-NUC" sheetId="81" r:id="rId21"/>
    <sheet name="16-UnfundedReserves" sheetId="82" r:id="rId22"/>
    <sheet name="17-RegAssets-1" sheetId="83" r:id="rId23"/>
    <sheet name="17-RegAssets-2" sheetId="103" r:id="rId24"/>
    <sheet name="17-RegAssets-3" sheetId="104" r:id="rId25"/>
    <sheet name="18-OandM" sheetId="84" r:id="rId26"/>
    <sheet name="19-AandG" sheetId="85" r:id="rId27"/>
    <sheet name="20-RevenueCredits" sheetId="86" r:id="rId28"/>
    <sheet name="21-NPandS" sheetId="87" r:id="rId29"/>
    <sheet name="22-TaxRates" sheetId="88" r:id="rId30"/>
    <sheet name="23-RetailSGTax" sheetId="89" r:id="rId31"/>
    <sheet name="24-Allocators" sheetId="90" r:id="rId32"/>
    <sheet name="25-RFandUFactors" sheetId="91" r:id="rId33"/>
    <sheet name="26-WholesaleTRRs" sheetId="92" r:id="rId34"/>
    <sheet name="27-WholesaleRates" sheetId="93" r:id="rId35"/>
    <sheet name="28-GrossLoad" sheetId="94" r:id="rId36"/>
    <sheet name="29-RetailRates-1" sheetId="105" r:id="rId37"/>
    <sheet name="29-RetailRates-2" sheetId="106" r:id="rId38"/>
  </sheets>
  <definedNames>
    <definedName name="\a" localSheetId="24">#REF!</definedName>
    <definedName name="\a">#REF!</definedName>
    <definedName name="\b" localSheetId="24">#REF!</definedName>
    <definedName name="\b">#REF!</definedName>
    <definedName name="\x" localSheetId="24">#REF!</definedName>
    <definedName name="\x">#REF!</definedName>
    <definedName name="___huh2" localSheetId="24" hidden="1">{#N/A,#N/A,FALSE,"Dist Rev at PR ";#N/A,#N/A,FALSE,"Spec";#N/A,#N/A,FALSE,"Res";#N/A,#N/A,FALSE,"Small L&amp;P";#N/A,#N/A,FALSE,"Medium L&amp;P";#N/A,#N/A,FALSE,"E-19";#N/A,#N/A,FALSE,"E-20";#N/A,#N/A,FALSE,"Strtlts &amp; Standby";#N/A,#N/A,FALSE,"A-RTP";#N/A,#N/A,FALSE,"2003mixeduse"}</definedName>
    <definedName name="___huh2" localSheetId="13"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_123Graph_A" localSheetId="9" hidden="1">#REF!</definedName>
    <definedName name="__123Graph_AGRAPH" localSheetId="9" hidden="1">#REF!</definedName>
    <definedName name="__123Graph_AGRS" localSheetId="9" hidden="1">#REF!</definedName>
    <definedName name="__123Graph_B" localSheetId="9" hidden="1">#REF!</definedName>
    <definedName name="__123Graph_BGRAPH" localSheetId="9" hidden="1">#REF!</definedName>
    <definedName name="__123Graph_BGRS" localSheetId="9" hidden="1">#REF!</definedName>
    <definedName name="__123Graph_C" localSheetId="9" hidden="1">#REF!</definedName>
    <definedName name="__123Graph_CGRAPH" localSheetId="9" hidden="1">#REF!</definedName>
    <definedName name="__123Graph_CGRS" localSheetId="9" hidden="1">#REF!</definedName>
    <definedName name="__123Graph_DGRAPH" localSheetId="9" hidden="1">#REF!</definedName>
    <definedName name="__123Graph_DGRS" localSheetId="9" hidden="1">#REF!</definedName>
    <definedName name="__123Graph_LBL_A" localSheetId="9" hidden="1">#REF!</definedName>
    <definedName name="__123Graph_LBL_EGRAPH" localSheetId="9" hidden="1">#REF!</definedName>
    <definedName name="__123Graph_LBL_EGRS" localSheetId="9" hidden="1">#REF!</definedName>
    <definedName name="__123Graph_X" localSheetId="9" hidden="1">#REF!</definedName>
    <definedName name="__foo1"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localSheetId="24" hidden="1">{#N/A,#N/A,FALSE,"Res - Unadj";#N/A,#N/A,FALSE,"Small L&amp;P";#N/A,#N/A,FALSE,"Medium L&amp;P";#N/A,#N/A,FALSE,"E-19";#N/A,#N/A,FALSE,"E-20";#N/A,#N/A,FALSE,"A-RTP";#N/A,#N/A,FALSE,"Strtlts &amp; Standby";#N/A,#N/A,FALSE,"AG";#N/A,#N/A,FALSE,"2001mixeduse"}</definedName>
    <definedName name="__foo3" hidden="1">{#N/A,#N/A,FALSE,"Res - Unadj";#N/A,#N/A,FALSE,"Small L&amp;P";#N/A,#N/A,FALSE,"Medium L&amp;P";#N/A,#N/A,FALSE,"E-19";#N/A,#N/A,FALSE,"E-20";#N/A,#N/A,FALSE,"A-RTP";#N/A,#N/A,FALSE,"Strtlts &amp; Standby";#N/A,#N/A,FALSE,"AG";#N/A,#N/A,FALSE,"2001mixeduse"}</definedName>
    <definedName name="__foo4" localSheetId="24" hidden="1">{"Summary","1",FALSE,"Summary"}</definedName>
    <definedName name="__foo4" hidden="1">{"Summary","1",FALSE,"Summary"}</definedName>
    <definedName name="__FPMExcelClient_CellBasedFunctionStatus" localSheetId="26">"2_1_2_2_2_2"</definedName>
    <definedName name="_bdm.DA90C587C9374C5A8F37C549C9BCDD3D.edm" localSheetId="15" hidden="1">#REF!</definedName>
    <definedName name="_bdm.DA90C587C9374C5A8F37C549C9BCDD3D.edm" localSheetId="16" hidden="1">#REF!</definedName>
    <definedName name="_bdm.DA90C587C9374C5A8F37C549C9BCDD3D.edm" localSheetId="17" hidden="1">#REF!</definedName>
    <definedName name="_bdm.DA90C587C9374C5A8F37C549C9BCDD3D.edm" localSheetId="18" hidden="1">#REF!</definedName>
    <definedName name="_bdm.DA90C587C9374C5A8F37C549C9BCDD3D.edm" localSheetId="19" hidden="1">#REF!</definedName>
    <definedName name="_bdm.DA90C587C9374C5A8F37C549C9BCDD3D.edm" localSheetId="20" hidden="1">#REF!</definedName>
    <definedName name="_bdm.DA90C587C9374C5A8F37C549C9BCDD3D.edm" localSheetId="21" hidden="1">#REF!</definedName>
    <definedName name="_bdm.DA90C587C9374C5A8F37C549C9BCDD3D.edm" localSheetId="22" hidden="1">#REF!</definedName>
    <definedName name="_bdm.DA90C587C9374C5A8F37C549C9BCDD3D.edm" localSheetId="25" hidden="1">#REF!</definedName>
    <definedName name="_bdm.DA90C587C9374C5A8F37C549C9BCDD3D.edm" localSheetId="27" hidden="1">#REF!</definedName>
    <definedName name="_bdm.DA90C587C9374C5A8F37C549C9BCDD3D.edm" localSheetId="28" hidden="1">#REF!</definedName>
    <definedName name="_bdm.DA90C587C9374C5A8F37C549C9BCDD3D.edm" localSheetId="29" hidden="1">#REF!</definedName>
    <definedName name="_bdm.DA90C587C9374C5A8F37C549C9BCDD3D.edm" localSheetId="30" hidden="1">#REF!</definedName>
    <definedName name="_bdm.DA90C587C9374C5A8F37C549C9BCDD3D.edm" localSheetId="31" hidden="1">#REF!</definedName>
    <definedName name="_bdm.DA90C587C9374C5A8F37C549C9BCDD3D.edm" localSheetId="32" hidden="1">#REF!</definedName>
    <definedName name="_bdm.DA90C587C9374C5A8F37C549C9BCDD3D.edm" localSheetId="33" hidden="1">#REF!</definedName>
    <definedName name="_bdm.DA90C587C9374C5A8F37C549C9BCDD3D.edm" localSheetId="34" hidden="1">#REF!</definedName>
    <definedName name="_bdm.DA90C587C9374C5A8F37C549C9BCDD3D.edm" localSheetId="35" hidden="1">#REF!</definedName>
    <definedName name="_bdm.DA90C587C9374C5A8F37C549C9BCDD3D.edm" localSheetId="5" hidden="1">#REF!</definedName>
    <definedName name="_bdm.DA90C587C9374C5A8F37C549C9BCDD3D.edm" localSheetId="7" hidden="1">#REF!</definedName>
    <definedName name="_bdm.DA90C587C9374C5A8F37C549C9BCDD3D.edm" localSheetId="8" hidden="1">#REF!</definedName>
    <definedName name="_bdm.DA90C587C9374C5A8F37C549C9BCDD3D.edm" localSheetId="9" hidden="1">#REF!</definedName>
    <definedName name="_bdm.DA90C587C9374C5A8F37C549C9BCDD3D.edm" localSheetId="11" hidden="1">#REF!</definedName>
    <definedName name="_bdm.DA90C587C9374C5A8F37C549C9BCDD3D.edm" localSheetId="12" hidden="1">#REF!</definedName>
    <definedName name="_bdm.DA90C587C9374C5A8F37C549C9BCDD3D.edm" localSheetId="13" hidden="1">#REF!</definedName>
    <definedName name="_bdm.DA90C587C9374C5A8F37C549C9BCDD3D.edm" localSheetId="14" hidden="1">#REF!</definedName>
    <definedName name="_bdm.DA90C587C9374C5A8F37C549C9BCDD3D.edm" hidden="1">#REF!</definedName>
    <definedName name="_Fill" hidden="1">#REF!</definedName>
    <definedName name="_foo1"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24"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24" hidden="1">{"Summary","1",FALSE,"Summary"}</definedName>
    <definedName name="_foo4" hidden="1">{"Summary","1",FALSE,"Summary"}</definedName>
    <definedName name="_huh2" localSheetId="24" hidden="1">{#N/A,#N/A,FALSE,"Dist Rev at PR ";#N/A,#N/A,FALSE,"Spec";#N/A,#N/A,FALSE,"Res";#N/A,#N/A,FALSE,"Small L&amp;P";#N/A,#N/A,FALSE,"Medium L&amp;P";#N/A,#N/A,FALSE,"E-19";#N/A,#N/A,FALSE,"E-20";#N/A,#N/A,FALSE,"Strtlts &amp; Standby";#N/A,#N/A,FALSE,"A-RTP";#N/A,#N/A,FALSE,"2003mixeduse"}</definedName>
    <definedName name="_huh2" localSheetId="13"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5"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5"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hidden="1">#REF!</definedName>
    <definedName name="_L2" localSheetId="24" hidden="1">{"PI_Data",#N/A,TRUE,"P&amp;I Data"}</definedName>
    <definedName name="_L2" hidden="1">{"PI_Data",#N/A,TRUE,"P&amp;I Data"}</definedName>
    <definedName name="_m2" localSheetId="24" hidden="1">{"PI_Data",#N/A,TRUE,"P&amp;I Data"}</definedName>
    <definedName name="_m2" hidden="1">{"PI_Data",#N/A,TRUE,"P&amp;I Data"}</definedName>
    <definedName name="_Order1">255</definedName>
    <definedName name="_Order2">255</definedName>
    <definedName name="_p2" localSheetId="24" hidden="1">{"PI_Data",#N/A,TRUE,"P&amp;I Data"}</definedName>
    <definedName name="_p2" hidden="1">{"PI_Data",#N/A,TRUE,"P&amp;I Data"}</definedName>
    <definedName name="_Regression_Int">1</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5"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hidden="1">#REF!</definedName>
    <definedName name="_t2" localSheetId="24" hidden="1">{"PI_Data",#N/A,TRUE,"P&amp;I Data"}</definedName>
    <definedName name="_t2" hidden="1">{"PI_Data",#N/A,TRUE,"P&amp;I Data"}</definedName>
    <definedName name="a" localSheetId="24" hidden="1">{#N/A,#N/A,FALSE,"CTC Summary - EOY";#N/A,#N/A,FALSE,"CTC Summary - Wtavg"}</definedName>
    <definedName name="a" hidden="1">{#N/A,#N/A,FALSE,"CTC Summary - EOY";#N/A,#N/A,FALSE,"CTC Summary - Wtavg"}</definedName>
    <definedName name="ACCELERATED2" localSheetId="24" hidden="1">{#N/A,#N/A,FALSE,"CTC Summary - EOY";#N/A,#N/A,FALSE,"CTC Summary - Wtavg"}</definedName>
    <definedName name="ACCELERATED2" hidden="1">{#N/A,#N/A,FALSE,"CTC Summary - EOY";#N/A,#N/A,FALSE,"CTC Summary - Wtavg"}</definedName>
    <definedName name="ACCELLERATED1X" localSheetId="24" hidden="1">{#N/A,#N/A,FALSE,"CTC Summary - EOY";#N/A,#N/A,FALSE,"CTC Summary - Wtavg"}</definedName>
    <definedName name="ACCELLERATED1X" hidden="1">{#N/A,#N/A,FALSE,"CTC Summary - EOY";#N/A,#N/A,FALSE,"CTC Summary - Wtavg"}</definedName>
    <definedName name="again" localSheetId="24" hidden="1">{#N/A,#N/A,FALSE,"ND Rev at Pres Rates";#N/A,#N/A,FALSE,"Res - Unadj sales";#N/A,#N/A,FALSE,"Small L&amp;P";#N/A,#N/A,FALSE,"Medium L&amp;P";#N/A,#N/A,FALSE,"E-19";#N/A,#N/A,FALSE,"E-20";#N/A,#N/A,FALSE,"Strtlts &amp; Standby";#N/A,#N/A,FALSE,"AG";#N/A,#N/A,FALSE,"A-RTP";#N/A,#N/A,FALSE,"Spec"}</definedName>
    <definedName name="again" localSheetId="13"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pril" localSheetId="24" hidden="1">{#N/A,#N/A,FALSE,"CTC Summary - EOY";#N/A,#N/A,FALSE,"CTC Summary - Wtavg"}</definedName>
    <definedName name="April" hidden="1">{#N/A,#N/A,FALSE,"CTC Summary - EOY";#N/A,#N/A,FALSE,"CTC Summary - Wtavg"}</definedName>
    <definedName name="AS2DocOpenMode">"AS2DocumentEdit"</definedName>
    <definedName name="August" localSheetId="24" hidden="1">{#N/A,#N/A,FALSE,"CTC Summary - EOY";#N/A,#N/A,FALSE,"CTC Summary - Wtavg"}</definedName>
    <definedName name="August" hidden="1">{#N/A,#N/A,FALSE,"CTC Summary - EOY";#N/A,#N/A,FALSE,"CTC Summary - Wtavg"}</definedName>
    <definedName name="b" localSheetId="24" hidden="1">{#N/A,#N/A,FALSE,"CTC Summary - EOY";#N/A,#N/A,FALSE,"CTC Summary - Wtavg"}</definedName>
    <definedName name="b" hidden="1">{#N/A,#N/A,FALSE,"CTC Summary - EOY";#N/A,#N/A,FALSE,"CTC Summary - Wtavg"}</definedName>
    <definedName name="CIQWBGuid" hidden="1">"5c45d50c-fbb0-4040-9a33-7ec34da71b69"</definedName>
    <definedName name="copy" localSheetId="24" hidden="1">{#N/A,#N/A,FALSE,"Dist Rev at PR ";#N/A,#N/A,FALSE,"Spec";#N/A,#N/A,FALSE,"Res";#N/A,#N/A,FALSE,"Small L&amp;P";#N/A,#N/A,FALSE,"Medium L&amp;P";#N/A,#N/A,FALSE,"E-19";#N/A,#N/A,FALSE,"E-20";#N/A,#N/A,FALSE,"Strtlts &amp; Standby";#N/A,#N/A,FALSE,"A-RTP";#N/A,#N/A,FALSE,"2003mixeduse"}</definedName>
    <definedName name="copy" localSheetId="13"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24" hidden="1">{#N/A,#N/A,FALSE,"Workpaper Tables 4-1 &amp; 4-2";#N/A,#N/A,FALSE,"Revenue Allocation Results";#N/A,#N/A,FALSE,"FERC Rev @ PR";#N/A,#N/A,FALSE,"Distribution Revenue Allocation";#N/A,#N/A,FALSE,"Nonallocated Revenues ";#N/A,#N/A,FALSE,"2000mixuse";#N/A,#N/A,FALSE,"MC Revenues- 00 sales, 96 MC's"}</definedName>
    <definedName name="copyprint" localSheetId="13"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24" hidden="1">{#N/A,#N/A,FALSE,"RRQ inputs ";#N/A,#N/A,FALSE,"FERC Rev @ PR";#N/A,#N/A,FALSE,"Distribution Revenue Allocation";#N/A,#N/A,FALSE,"Nonallocated Revenues";#N/A,#N/A,FALSE,"MC Revenues-03 sales, 96 MC's";#N/A,#N/A,FALSE,"FTA"}</definedName>
    <definedName name="copyrevalloc" localSheetId="13"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24" hidden="1">{#N/A,#N/A,FALSE,"ND Rev at Pres Rates";#N/A,#N/A,FALSE,"Res - Unadj";#N/A,#N/A,FALSE,"Small L&amp;P";#N/A,#N/A,FALSE,"Medium L&amp;P";#N/A,#N/A,FALSE,"E-19";#N/A,#N/A,FALSE,"E-20";#N/A,#N/A,FALSE,"A-RTP";#N/A,#N/A,FALSE,"Strtlts &amp; Standby";#N/A,#N/A,FALSE,"AG";#N/A,#N/A,FALSE,"2001mixeduse"}</definedName>
    <definedName name="copyschudel" localSheetId="13"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TIT" localSheetId="24" hidden="1">{"PI_Data",#N/A,TRUE,"P&amp;I Data"}</definedName>
    <definedName name="CTIT" hidden="1">{"PI_Data",#N/A,TRUE,"P&amp;I Data"}</definedName>
    <definedName name="d" localSheetId="24" hidden="1">{#N/A,#N/A,FALSE,"CTC Summary - EOY";#N/A,#N/A,FALSE,"CTC Summary - Wtavg"}</definedName>
    <definedName name="d" hidden="1">{#N/A,#N/A,FALSE,"CTC Summary - EOY";#N/A,#N/A,FALSE,"CTC Summary - Wtavg"}</definedName>
    <definedName name="DeleteMe" localSheetId="24" hidden="1">{#N/A,#N/A,FALSE,"Dist Rev at PR ";#N/A,#N/A,FALSE,"Spec";#N/A,#N/A,FALSE,"Res";#N/A,#N/A,FALSE,"Small L&amp;P";#N/A,#N/A,FALSE,"Medium L&amp;P";#N/A,#N/A,FALSE,"E-19";#N/A,#N/A,FALSE,"E-20";#N/A,#N/A,FALSE,"Strtlts &amp; Standby";#N/A,#N/A,FALSE,"A-RTP";#N/A,#N/A,FALSE,"2003mixeduse"}</definedName>
    <definedName name="DeleteMe" hidden="1">{#N/A,#N/A,FALSE,"Dist Rev at PR ";#N/A,#N/A,FALSE,"Spec";#N/A,#N/A,FALSE,"Res";#N/A,#N/A,FALSE,"Small L&amp;P";#N/A,#N/A,FALSE,"Medium L&amp;P";#N/A,#N/A,FALSE,"E-19";#N/A,#N/A,FALSE,"E-20";#N/A,#N/A,FALSE,"Strtlts &amp; Standby";#N/A,#N/A,FALSE,"A-RTP";#N/A,#N/A,FALSE,"2003mixeduse"}</definedName>
    <definedName name="e" localSheetId="24" hidden="1">{#N/A,#N/A,FALSE,"CTC Summary - EOY";#N/A,#N/A,FALSE,"CTC Summary - Wtavg"}</definedName>
    <definedName name="e" hidden="1">{#N/A,#N/A,FALSE,"CTC Summary - EOY";#N/A,#N/A,FALSE,"CTC Summary - Wtavg"}</definedName>
    <definedName name="ED">"3W3Y8WU9D4KB8I8XZYLB5WWMT"</definedName>
    <definedName name="ee" localSheetId="15" hidden="1">{"PI_Data",#N/A,TRUE,"P&amp;I Data"}</definedName>
    <definedName name="ee" localSheetId="16" hidden="1">{"PI_Data",#N/A,TRUE,"P&amp;I Data"}</definedName>
    <definedName name="ee" localSheetId="17" hidden="1">{"PI_Data",#N/A,TRUE,"P&amp;I Data"}</definedName>
    <definedName name="ee" localSheetId="18" hidden="1">{"PI_Data",#N/A,TRUE,"P&amp;I Data"}</definedName>
    <definedName name="ee" localSheetId="19" hidden="1">{"PI_Data",#N/A,TRUE,"P&amp;I Data"}</definedName>
    <definedName name="ee" localSheetId="20" hidden="1">{"PI_Data",#N/A,TRUE,"P&amp;I Data"}</definedName>
    <definedName name="ee" localSheetId="21" hidden="1">{"PI_Data",#N/A,TRUE,"P&amp;I Data"}</definedName>
    <definedName name="ee" localSheetId="22" hidden="1">{"PI_Data",#N/A,TRUE,"P&amp;I Data"}</definedName>
    <definedName name="ee" localSheetId="23" hidden="1">{"PI_Data",#N/A,TRUE,"P&amp;I Data"}</definedName>
    <definedName name="ee" localSheetId="24" hidden="1">{"PI_Data",#N/A,TRUE,"P&amp;I Data"}</definedName>
    <definedName name="ee" localSheetId="25" hidden="1">{"PI_Data",#N/A,TRUE,"P&amp;I Data"}</definedName>
    <definedName name="ee" localSheetId="27" hidden="1">{"PI_Data",#N/A,TRUE,"P&amp;I Data"}</definedName>
    <definedName name="ee" localSheetId="28" hidden="1">{"PI_Data",#N/A,TRUE,"P&amp;I Data"}</definedName>
    <definedName name="ee" localSheetId="29" hidden="1">{"PI_Data",#N/A,TRUE,"P&amp;I Data"}</definedName>
    <definedName name="ee" localSheetId="30" hidden="1">{"PI_Data",#N/A,TRUE,"P&amp;I Data"}</definedName>
    <definedName name="ee" localSheetId="31" hidden="1">{"PI_Data",#N/A,TRUE,"P&amp;I Data"}</definedName>
    <definedName name="ee" localSheetId="32" hidden="1">{"PI_Data",#N/A,TRUE,"P&amp;I Data"}</definedName>
    <definedName name="ee" localSheetId="33" hidden="1">{"PI_Data",#N/A,TRUE,"P&amp;I Data"}</definedName>
    <definedName name="ee" localSheetId="34" hidden="1">{"PI_Data",#N/A,TRUE,"P&amp;I Data"}</definedName>
    <definedName name="ee" localSheetId="35" hidden="1">{"PI_Data",#N/A,TRUE,"P&amp;I Data"}</definedName>
    <definedName name="ee" localSheetId="9" hidden="1">{"PI_Data",#N/A,TRUE,"P&amp;I Data"}</definedName>
    <definedName name="ee" localSheetId="11" hidden="1">{"PI_Data",#N/A,TRUE,"P&amp;I Data"}</definedName>
    <definedName name="ee" localSheetId="12" hidden="1">{"PI_Data",#N/A,TRUE,"P&amp;I Data"}</definedName>
    <definedName name="ee" localSheetId="13" hidden="1">{"PI_Data",#N/A,TRUE,"P&amp;I Data"}</definedName>
    <definedName name="ee" localSheetId="14" hidden="1">{"PI_Data",#N/A,TRUE,"P&amp;I Data"}</definedName>
    <definedName name="ee" hidden="1">{"PI_Data",#N/A,TRUE,"P&amp;I Data"}</definedName>
    <definedName name="ef" localSheetId="15" hidden="1">{"PI_Data",#N/A,TRUE,"P&amp;I Data"}</definedName>
    <definedName name="ef" localSheetId="16" hidden="1">{"PI_Data",#N/A,TRUE,"P&amp;I Data"}</definedName>
    <definedName name="ef" localSheetId="17" hidden="1">{"PI_Data",#N/A,TRUE,"P&amp;I Data"}</definedName>
    <definedName name="ef" localSheetId="18" hidden="1">{"PI_Data",#N/A,TRUE,"P&amp;I Data"}</definedName>
    <definedName name="ef" localSheetId="19" hidden="1">{"PI_Data",#N/A,TRUE,"P&amp;I Data"}</definedName>
    <definedName name="ef" localSheetId="20" hidden="1">{"PI_Data",#N/A,TRUE,"P&amp;I Data"}</definedName>
    <definedName name="ef" localSheetId="21" hidden="1">{"PI_Data",#N/A,TRUE,"P&amp;I Data"}</definedName>
    <definedName name="ef" localSheetId="22" hidden="1">{"PI_Data",#N/A,TRUE,"P&amp;I Data"}</definedName>
    <definedName name="ef" localSheetId="24" hidden="1">{"PI_Data",#N/A,TRUE,"P&amp;I Data"}</definedName>
    <definedName name="ef" localSheetId="25" hidden="1">{"PI_Data",#N/A,TRUE,"P&amp;I Data"}</definedName>
    <definedName name="ef" localSheetId="27" hidden="1">{"PI_Data",#N/A,TRUE,"P&amp;I Data"}</definedName>
    <definedName name="ef" localSheetId="28" hidden="1">{"PI_Data",#N/A,TRUE,"P&amp;I Data"}</definedName>
    <definedName name="ef" localSheetId="29" hidden="1">{"PI_Data",#N/A,TRUE,"P&amp;I Data"}</definedName>
    <definedName name="ef" localSheetId="30" hidden="1">{"PI_Data",#N/A,TRUE,"P&amp;I Data"}</definedName>
    <definedName name="ef" localSheetId="31" hidden="1">{"PI_Data",#N/A,TRUE,"P&amp;I Data"}</definedName>
    <definedName name="ef" localSheetId="32" hidden="1">{"PI_Data",#N/A,TRUE,"P&amp;I Data"}</definedName>
    <definedName name="ef" localSheetId="33" hidden="1">{"PI_Data",#N/A,TRUE,"P&amp;I Data"}</definedName>
    <definedName name="ef" localSheetId="34" hidden="1">{"PI_Data",#N/A,TRUE,"P&amp;I Data"}</definedName>
    <definedName name="ef" localSheetId="35" hidden="1">{"PI_Data",#N/A,TRUE,"P&amp;I Data"}</definedName>
    <definedName name="ef" localSheetId="9" hidden="1">{"PI_Data",#N/A,TRUE,"P&amp;I Data"}</definedName>
    <definedName name="ef" localSheetId="11" hidden="1">{"PI_Data",#N/A,TRUE,"P&amp;I Data"}</definedName>
    <definedName name="ef" localSheetId="12" hidden="1">{"PI_Data",#N/A,TRUE,"P&amp;I Data"}</definedName>
    <definedName name="ef" localSheetId="13" hidden="1">{"PI_Data",#N/A,TRUE,"P&amp;I Data"}</definedName>
    <definedName name="ef" localSheetId="14" hidden="1">{"PI_Data",#N/A,TRUE,"P&amp;I Data"}</definedName>
    <definedName name="ef" hidden="1">{"PI_Data",#N/A,TRUE,"P&amp;I Data"}</definedName>
    <definedName name="EV__EVCOM_OPTIONS__" hidden="1">8</definedName>
    <definedName name="EV__EXPOPTIONS__" hidden="1">1</definedName>
    <definedName name="EV__LASTREFTIME__" localSheetId="23" hidden="1">"(GMT-08:00)5/8/2012 1:36:12 PM"</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localSheetId="24" hidden="1">{#N/A,#N/A,FALSE,"CTC Summary - EOY";#N/A,#N/A,FALSE,"CTC Summary - Wtavg"}</definedName>
    <definedName name="FERC" hidden="1">{#N/A,#N/A,FALSE,"CTC Summary - EOY";#N/A,#N/A,FALSE,"CTC Summary - Wtavg"}</definedName>
    <definedName name="foo"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localSheetId="24" hidden="1">{#N/A,#N/A,FALSE,"Dist Rev at PR ";#N/A,#N/A,FALSE,"Spec";#N/A,#N/A,FALSE,"Res";#N/A,#N/A,FALSE,"Small L&amp;P";#N/A,#N/A,FALSE,"Medium L&amp;P";#N/A,#N/A,FALSE,"E-19";#N/A,#N/A,FALSE,"E-20";#N/A,#N/A,FALSE,"Strtlts &amp; Standby";#N/A,#N/A,FALSE,"A-RTP";#N/A,#N/A,FALSE,"2003mixeduse"}</definedName>
    <definedName name="huh" localSheetId="13"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24" hidden="1">{#N/A,#N/A,FALSE,"ND Rev at Pres Rates";#N/A,#N/A,FALSE,"Res - Unadj sales";#N/A,#N/A,FALSE,"Small L&amp;P";#N/A,#N/A,FALSE,"Medium L&amp;P";#N/A,#N/A,FALSE,"E-19";#N/A,#N/A,FALSE,"E-20";#N/A,#N/A,FALSE,"Strtlts &amp; Standby";#N/A,#N/A,FALSE,"AG";#N/A,#N/A,FALSE,"A-RTP";#N/A,#N/A,FALSE,"Spec"}</definedName>
    <definedName name="huhnd" localSheetId="13"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24" hidden="1">{#N/A,#N/A,FALSE,"ND Rev at Pres Rates";#N/A,#N/A,FALSE,"Res - Unadj sales";#N/A,#N/A,FALSE,"Small L&amp;P";#N/A,#N/A,FALSE,"Medium L&amp;P";#N/A,#N/A,FALSE,"E-19";#N/A,#N/A,FALSE,"E-20";#N/A,#N/A,FALSE,"Strtlts &amp; Standby";#N/A,#N/A,FALSE,"AG";#N/A,#N/A,FALSE,"A-RTP";#N/A,#N/A,FALSE,"Spec"}</definedName>
    <definedName name="huhnd2" localSheetId="13"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24" hidden="1">{#N/A,#N/A,FALSE,"Workpaper Tables 4-1 &amp; 4-2";#N/A,#N/A,FALSE,"Revenue Allocation Results";#N/A,#N/A,FALSE,"FERC Rev @ PR";#N/A,#N/A,FALSE,"Distribution Revenue Allocation";#N/A,#N/A,FALSE,"Nonallocated Revenues ";#N/A,#N/A,FALSE,"2000mixuse";#N/A,#N/A,FALSE,"MC Revenues- 00 sales, 96 MC's"}</definedName>
    <definedName name="huhprint" localSheetId="13"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24" hidden="1">{#N/A,#N/A,FALSE,"RRQ inputs ";#N/A,#N/A,FALSE,"FERC Rev @ PR";#N/A,#N/A,FALSE,"Distribution Revenue Allocation";#N/A,#N/A,FALSE,"Nonallocated Revenues";#N/A,#N/A,FALSE,"MC Revenues-03 sales, 96 MC's";#N/A,#N/A,FALSE,"FTA"}</definedName>
    <definedName name="huhrevalloc" localSheetId="13"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24" hidden="1">{#N/A,#N/A,FALSE,"ND Rev at Pres Rates";#N/A,#N/A,FALSE,"Res - Unadj";#N/A,#N/A,FALSE,"Small L&amp;P";#N/A,#N/A,FALSE,"Medium L&amp;P";#N/A,#N/A,FALSE,"E-19";#N/A,#N/A,FALSE,"E-20";#N/A,#N/A,FALSE,"A-RTP";#N/A,#N/A,FALSE,"Strtlts &amp; Standby";#N/A,#N/A,FALSE,"AG";#N/A,#N/A,FALSE,"2001mixeduse"}</definedName>
    <definedName name="huhschudel" localSheetId="13"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localSheetId="24" hidden="1">{#N/A,#N/A,FALSE,"CTC Summary - EOY";#N/A,#N/A,FALSE,"CTC Summary - Wtavg"}</definedName>
    <definedName name="July" hidden="1">{#N/A,#N/A,FALSE,"CTC Summary - EOY";#N/A,#N/A,FALSE,"CTC Summary - Wtavg"}</definedName>
    <definedName name="June" localSheetId="24"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5" hidden="1">{"PI_Data",#N/A,TRUE,"P&amp;I Data"}</definedName>
    <definedName name="L" localSheetId="16" hidden="1">{"PI_Data",#N/A,TRUE,"P&amp;I Data"}</definedName>
    <definedName name="L" localSheetId="17" hidden="1">{"PI_Data",#N/A,TRUE,"P&amp;I Data"}</definedName>
    <definedName name="L" localSheetId="18" hidden="1">{"PI_Data",#N/A,TRUE,"P&amp;I Data"}</definedName>
    <definedName name="L" localSheetId="19" hidden="1">{"PI_Data",#N/A,TRUE,"P&amp;I Data"}</definedName>
    <definedName name="L" localSheetId="20" hidden="1">{"PI_Data",#N/A,TRUE,"P&amp;I Data"}</definedName>
    <definedName name="L" localSheetId="21" hidden="1">{"PI_Data",#N/A,TRUE,"P&amp;I Data"}</definedName>
    <definedName name="L" localSheetId="22" hidden="1">{"PI_Data",#N/A,TRUE,"P&amp;I Data"}</definedName>
    <definedName name="L" localSheetId="24" hidden="1">{"PI_Data",#N/A,TRUE,"P&amp;I Data"}</definedName>
    <definedName name="L" localSheetId="25" hidden="1">{"PI_Data",#N/A,TRUE,"P&amp;I Data"}</definedName>
    <definedName name="L" localSheetId="27" hidden="1">{"PI_Data",#N/A,TRUE,"P&amp;I Data"}</definedName>
    <definedName name="L" localSheetId="28" hidden="1">{"PI_Data",#N/A,TRUE,"P&amp;I Data"}</definedName>
    <definedName name="L" localSheetId="29" hidden="1">{"PI_Data",#N/A,TRUE,"P&amp;I Data"}</definedName>
    <definedName name="L" localSheetId="30" hidden="1">{"PI_Data",#N/A,TRUE,"P&amp;I Data"}</definedName>
    <definedName name="L" localSheetId="31" hidden="1">{"PI_Data",#N/A,TRUE,"P&amp;I Data"}</definedName>
    <definedName name="L" localSheetId="32" hidden="1">{"PI_Data",#N/A,TRUE,"P&amp;I Data"}</definedName>
    <definedName name="L" localSheetId="33" hidden="1">{"PI_Data",#N/A,TRUE,"P&amp;I Data"}</definedName>
    <definedName name="L" localSheetId="34" hidden="1">{"PI_Data",#N/A,TRUE,"P&amp;I Data"}</definedName>
    <definedName name="L" localSheetId="35" hidden="1">{"PI_Data",#N/A,TRUE,"P&amp;I Data"}</definedName>
    <definedName name="L" localSheetId="9" hidden="1">{"PI_Data",#N/A,TRUE,"P&amp;I Data"}</definedName>
    <definedName name="L" localSheetId="11" hidden="1">{"PI_Data",#N/A,TRUE,"P&amp;I Data"}</definedName>
    <definedName name="L" localSheetId="12" hidden="1">{"PI_Data",#N/A,TRUE,"P&amp;I Data"}</definedName>
    <definedName name="L" localSheetId="13" hidden="1">{"PI_Data",#N/A,TRUE,"P&amp;I Data"}</definedName>
    <definedName name="L" localSheetId="14" hidden="1">{"PI_Data",#N/A,TRUE,"P&amp;I Data"}</definedName>
    <definedName name="L" hidden="1">{"PI_Data",#N/A,TRUE,"P&amp;I Data"}</definedName>
    <definedName name="L2X" localSheetId="24" hidden="1">{"PI_Data",#N/A,TRUE,"P&amp;I Data"}</definedName>
    <definedName name="L2X" hidden="1">{"PI_Data",#N/A,TRUE,"P&amp;I Data"}</definedName>
    <definedName name="left">#REF!</definedName>
    <definedName name="LL" localSheetId="24" hidden="1">{"PI_Data",#N/A,TRUE,"P&amp;I Data"}</definedName>
    <definedName name="LL" hidden="1">{"PI_Data",#N/A,TRUE,"P&amp;I Data"}</definedName>
    <definedName name="m" localSheetId="15" hidden="1">{"PI_Data",#N/A,TRUE,"P&amp;I Data"}</definedName>
    <definedName name="m" localSheetId="16" hidden="1">{"PI_Data",#N/A,TRUE,"P&amp;I Data"}</definedName>
    <definedName name="m" localSheetId="17" hidden="1">{"PI_Data",#N/A,TRUE,"P&amp;I Data"}</definedName>
    <definedName name="m" localSheetId="18" hidden="1">{"PI_Data",#N/A,TRUE,"P&amp;I Data"}</definedName>
    <definedName name="m" localSheetId="19" hidden="1">{"PI_Data",#N/A,TRUE,"P&amp;I Data"}</definedName>
    <definedName name="m" localSheetId="20" hidden="1">{"PI_Data",#N/A,TRUE,"P&amp;I Data"}</definedName>
    <definedName name="m" localSheetId="21" hidden="1">{"PI_Data",#N/A,TRUE,"P&amp;I Data"}</definedName>
    <definedName name="m" localSheetId="22" hidden="1">{"PI_Data",#N/A,TRUE,"P&amp;I Data"}</definedName>
    <definedName name="m" localSheetId="24" hidden="1">{"PI_Data",#N/A,TRUE,"P&amp;I Data"}</definedName>
    <definedName name="m" localSheetId="25" hidden="1">{"PI_Data",#N/A,TRUE,"P&amp;I Data"}</definedName>
    <definedName name="m" localSheetId="27" hidden="1">{"PI_Data",#N/A,TRUE,"P&amp;I Data"}</definedName>
    <definedName name="m" localSheetId="28" hidden="1">{"PI_Data",#N/A,TRUE,"P&amp;I Data"}</definedName>
    <definedName name="m" localSheetId="29" hidden="1">{"PI_Data",#N/A,TRUE,"P&amp;I Data"}</definedName>
    <definedName name="m" localSheetId="30" hidden="1">{"PI_Data",#N/A,TRUE,"P&amp;I Data"}</definedName>
    <definedName name="m" localSheetId="31" hidden="1">{"PI_Data",#N/A,TRUE,"P&amp;I Data"}</definedName>
    <definedName name="m" localSheetId="32" hidden="1">{"PI_Data",#N/A,TRUE,"P&amp;I Data"}</definedName>
    <definedName name="m" localSheetId="33" hidden="1">{"PI_Data",#N/A,TRUE,"P&amp;I Data"}</definedName>
    <definedName name="m" localSheetId="34" hidden="1">{"PI_Data",#N/A,TRUE,"P&amp;I Data"}</definedName>
    <definedName name="m" localSheetId="35" hidden="1">{"PI_Data",#N/A,TRUE,"P&amp;I Data"}</definedName>
    <definedName name="m" localSheetId="9" hidden="1">{"PI_Data",#N/A,TRUE,"P&amp;I Data"}</definedName>
    <definedName name="m" localSheetId="11" hidden="1">{"PI_Data",#N/A,TRUE,"P&amp;I Data"}</definedName>
    <definedName name="m" localSheetId="12" hidden="1">{"PI_Data",#N/A,TRUE,"P&amp;I Data"}</definedName>
    <definedName name="m" localSheetId="13" hidden="1">{"PI_Data",#N/A,TRUE,"P&amp;I Data"}</definedName>
    <definedName name="m" localSheetId="14" hidden="1">{"PI_Data",#N/A,TRUE,"P&amp;I Data"}</definedName>
    <definedName name="m" hidden="1">{"PI_Data",#N/A,TRUE,"P&amp;I Data"}</definedName>
    <definedName name="M2X" localSheetId="24" hidden="1">{"PI_Data",#N/A,TRUE,"P&amp;I Data"}</definedName>
    <definedName name="M2X" hidden="1">{"PI_Data",#N/A,TRUE,"P&amp;I Data"}</definedName>
    <definedName name="May" localSheetId="24" hidden="1">{#N/A,#N/A,FALSE,"CTC Summary - EOY";#N/A,#N/A,FALSE,"CTC Summary - Wtavg"}</definedName>
    <definedName name="May" hidden="1">{#N/A,#N/A,FALSE,"CTC Summary - EOY";#N/A,#N/A,FALSE,"CTC Summary - Wtavg"}</definedName>
    <definedName name="MEWarning" hidden="1">1</definedName>
    <definedName name="MM" localSheetId="24" hidden="1">{"PI_Data",#N/A,TRUE,"P&amp;I Data"}</definedName>
    <definedName name="MM" hidden="1">{"PI_Data",#N/A,TRUE,"P&amp;I Data"}</definedName>
    <definedName name="n" localSheetId="24" hidden="1">{#N/A,#N/A,FALSE,"CTC Summary - EOY";#N/A,#N/A,FALSE,"CTC Summary - Wtavg"}</definedName>
    <definedName name="n" hidden="1">{#N/A,#N/A,FALSE,"CTC Summary - EOY";#N/A,#N/A,FALSE,"CTC Summary - Wtavg"}</definedName>
    <definedName name="New" localSheetId="24" hidden="1">{#N/A,#N/A,FALSE,"CTC Summary - EOY";#N/A,#N/A,FALSE,"CTC Summary - Wtavg"}</definedName>
    <definedName name="New" hidden="1">{#N/A,#N/A,FALSE,"CTC Summary - EOY";#N/A,#N/A,FALSE,"CTC Summary - Wtavg"}</definedName>
    <definedName name="p" localSheetId="15" hidden="1">{"PI_Data",#N/A,TRUE,"P&amp;I Data"}</definedName>
    <definedName name="p" localSheetId="16" hidden="1">{"PI_Data",#N/A,TRUE,"P&amp;I Data"}</definedName>
    <definedName name="p" localSheetId="17" hidden="1">{"PI_Data",#N/A,TRUE,"P&amp;I Data"}</definedName>
    <definedName name="p" localSheetId="18" hidden="1">{"PI_Data",#N/A,TRUE,"P&amp;I Data"}</definedName>
    <definedName name="p" localSheetId="19" hidden="1">{"PI_Data",#N/A,TRUE,"P&amp;I Data"}</definedName>
    <definedName name="p" localSheetId="20" hidden="1">{"PI_Data",#N/A,TRUE,"P&amp;I Data"}</definedName>
    <definedName name="p" localSheetId="21" hidden="1">{"PI_Data",#N/A,TRUE,"P&amp;I Data"}</definedName>
    <definedName name="p" localSheetId="22" hidden="1">{"PI_Data",#N/A,TRUE,"P&amp;I Data"}</definedName>
    <definedName name="p" localSheetId="23" hidden="1">{"PI_Data",#N/A,TRUE,"P&amp;I Data"}</definedName>
    <definedName name="p" localSheetId="24" hidden="1">{"PI_Data",#N/A,TRUE,"P&amp;I Data"}</definedName>
    <definedName name="p" localSheetId="25" hidden="1">{"PI_Data",#N/A,TRUE,"P&amp;I Data"}</definedName>
    <definedName name="p" localSheetId="27" hidden="1">{"PI_Data",#N/A,TRUE,"P&amp;I Data"}</definedName>
    <definedName name="p" localSheetId="28" hidden="1">{"PI_Data",#N/A,TRUE,"P&amp;I Data"}</definedName>
    <definedName name="p" localSheetId="29" hidden="1">{"PI_Data",#N/A,TRUE,"P&amp;I Data"}</definedName>
    <definedName name="p" localSheetId="30" hidden="1">{"PI_Data",#N/A,TRUE,"P&amp;I Data"}</definedName>
    <definedName name="p" localSheetId="31" hidden="1">{"PI_Data",#N/A,TRUE,"P&amp;I Data"}</definedName>
    <definedName name="p" localSheetId="32" hidden="1">{"PI_Data",#N/A,TRUE,"P&amp;I Data"}</definedName>
    <definedName name="p" localSheetId="33" hidden="1">{"PI_Data",#N/A,TRUE,"P&amp;I Data"}</definedName>
    <definedName name="p" localSheetId="34" hidden="1">{"PI_Data",#N/A,TRUE,"P&amp;I Data"}</definedName>
    <definedName name="p" localSheetId="35" hidden="1">{"PI_Data",#N/A,TRUE,"P&amp;I Data"}</definedName>
    <definedName name="p" localSheetId="9" hidden="1">{"PI_Data",#N/A,TRUE,"P&amp;I Data"}</definedName>
    <definedName name="p" localSheetId="11" hidden="1">{"PI_Data",#N/A,TRUE,"P&amp;I Data"}</definedName>
    <definedName name="p" localSheetId="12" hidden="1">{"PI_Data",#N/A,TRUE,"P&amp;I Data"}</definedName>
    <definedName name="p" localSheetId="13" hidden="1">{"PI_Data",#N/A,TRUE,"P&amp;I Data"}</definedName>
    <definedName name="p" localSheetId="14" hidden="1">{"PI_Data",#N/A,TRUE,"P&amp;I Data"}</definedName>
    <definedName name="p" hidden="1">{"PI_Data",#N/A,TRUE,"P&amp;I Data"}</definedName>
    <definedName name="P2X" localSheetId="24" hidden="1">{"PI_Data",#N/A,TRUE,"P&amp;I Data"}</definedName>
    <definedName name="P2X" hidden="1">{"PI_Data",#N/A,TRUE,"P&amp;I Data"}</definedName>
    <definedName name="PIX" localSheetId="24" hidden="1">{"PI_Data",#N/A,TRUE,"P&amp;I Data"}</definedName>
    <definedName name="PIX" hidden="1">{"PI_Data",#N/A,TRUE,"P&amp;I Data"}</definedName>
    <definedName name="PP" localSheetId="24" hidden="1">{"PI_Data",#N/A,TRUE,"P&amp;I Data"}</definedName>
    <definedName name="PP" hidden="1">{"PI_Data",#N/A,TRUE,"P&amp;I Data"}</definedName>
    <definedName name="ppppppppppppppppppppppppppppppp" localSheetId="24" hidden="1">{"PI_Data",#N/A,TRUE,"P&amp;I Data"}</definedName>
    <definedName name="ppppppppppppppppppppppppppppppp" hidden="1">{"PI_Data",#N/A,TRUE,"P&amp;I Data"}</definedName>
    <definedName name="_xlnm.Print_Area" localSheetId="15">'10-AccDep'!$A$1:$R$136</definedName>
    <definedName name="_xlnm.Print_Area" localSheetId="18">'13-WorkCap'!$A$1:$J$69</definedName>
    <definedName name="_xlnm.Print_Area" localSheetId="19">'14-ADIT'!$A$1:$N$189</definedName>
    <definedName name="_xlnm.Print_Area" localSheetId="20">'15-NUC'!$A$1:$G$20</definedName>
    <definedName name="_xlnm.Print_Area" localSheetId="22">'17-RegAssets-1'!$A$1:$K$73</definedName>
    <definedName name="_xlnm.Print_Area" localSheetId="25">'18-OandM'!$A$1:$Q$47</definedName>
    <definedName name="_xlnm.Print_Area" localSheetId="26">'19-AandG'!$A$1:$N$80</definedName>
    <definedName name="_xlnm.Print_Area" localSheetId="27">'20-RevenueCredits'!$A$1:$K$70</definedName>
    <definedName name="_xlnm.Print_Area" localSheetId="28">'21-NPandS'!$A$1:$G$44</definedName>
    <definedName name="_xlnm.Print_Area" localSheetId="29">'22-TaxRates'!$A$1:$F$16</definedName>
    <definedName name="_xlnm.Print_Area" localSheetId="30">'23-RetailSGTax'!$A$1:$K$68</definedName>
    <definedName name="_xlnm.Print_Area" localSheetId="31">'24-Allocators'!$A$1:$F$64</definedName>
    <definedName name="_xlnm.Print_Area" localSheetId="32">'25-RFandUFactors'!$A$1:$G$25</definedName>
    <definedName name="_xlnm.Print_Area" localSheetId="33">'26-WholesaleTRRs'!$A$1:$I$59</definedName>
    <definedName name="_xlnm.Print_Area" localSheetId="35">'28-GrossLoad'!$A$1:$F$13</definedName>
    <definedName name="_xlnm.Print_Area" localSheetId="4">'2-ITRR'!$A$1:$G$35</definedName>
    <definedName name="_xlnm.Print_Area" localSheetId="5">'3-True-upTRR'!$A$1:$I$111</definedName>
    <definedName name="_xlnm.Print_Area" localSheetId="6">'4-ATA'!$A$1:$L$146</definedName>
    <definedName name="_xlnm.Print_Area" localSheetId="7">'5-CostofCap-1'!$A$1:$G$30</definedName>
    <definedName name="_xlnm.Print_Area" localSheetId="8">'5-CostofCap-2'!$A$1:$Q$57</definedName>
    <definedName name="_xlnm.Print_Area" localSheetId="9">'5-CostofCap-3'!$A$1:$H$25</definedName>
    <definedName name="_xlnm.Print_Area" localSheetId="10">'5-CostofCap-4'!$A$1:$K$47</definedName>
    <definedName name="_xlnm.Print_Area" localSheetId="11">'6-PlantJurisdiction'!$A$1:$J$29</definedName>
    <definedName name="_xlnm.Print_Area" localSheetId="12">'7-PlantInService'!$A$1:$R$136</definedName>
    <definedName name="_xlnm.Print_Area" localSheetId="13">'8-AbandonedPlant'!$A$1:$Q$22</definedName>
    <definedName name="_xlnm.Print_Area" localSheetId="0">'Cover Page'!$A$1:$F$23</definedName>
    <definedName name="Print_Area_MI" localSheetId="24">#REF!</definedName>
    <definedName name="Print_Area_MI">#REF!</definedName>
    <definedName name="_xlnm.Print_Titles" localSheetId="15">'10-AccDep'!$1:$2</definedName>
    <definedName name="_xlnm.Print_Titles" localSheetId="16">'11-Depreciation'!$1:$2</definedName>
    <definedName name="_xlnm.Print_Titles" localSheetId="18">'13-WorkCap'!$1:$2</definedName>
    <definedName name="_xlnm.Print_Titles" localSheetId="19">'14-ADIT'!$1:$2</definedName>
    <definedName name="_xlnm.Print_Titles" localSheetId="3">'1-BaseTRR'!$1:$2</definedName>
    <definedName name="_xlnm.Print_Titles" localSheetId="5">'3-True-upTRR'!$1:$2</definedName>
    <definedName name="_xlnm.Print_Titles" localSheetId="6">'4-ATA'!$1:$2</definedName>
    <definedName name="_xlnm.Print_Titles" localSheetId="12">'7-PlantInService'!$1:$2</definedName>
    <definedName name="_xlnm.Print_Titles" localSheetId="14">'9-PlantAdditions'!$1:$5</definedName>
    <definedName name="q" localSheetId="24" hidden="1">#REF!</definedName>
    <definedName name="q" hidden="1">#REF!</definedName>
    <definedName name="qwer" localSheetId="15" hidden="1">{"PI_Data",#N/A,TRUE,"P&amp;I Data"}</definedName>
    <definedName name="qwer" localSheetId="16" hidden="1">{"PI_Data",#N/A,TRUE,"P&amp;I Data"}</definedName>
    <definedName name="qwer" localSheetId="17" hidden="1">{"PI_Data",#N/A,TRUE,"P&amp;I Data"}</definedName>
    <definedName name="qwer" localSheetId="18" hidden="1">{"PI_Data",#N/A,TRUE,"P&amp;I Data"}</definedName>
    <definedName name="qwer" localSheetId="19" hidden="1">{"PI_Data",#N/A,TRUE,"P&amp;I Data"}</definedName>
    <definedName name="qwer" localSheetId="20" hidden="1">{"PI_Data",#N/A,TRUE,"P&amp;I Data"}</definedName>
    <definedName name="qwer" localSheetId="21" hidden="1">{"PI_Data",#N/A,TRUE,"P&amp;I Data"}</definedName>
    <definedName name="qwer" localSheetId="22" hidden="1">{"PI_Data",#N/A,TRUE,"P&amp;I Data"}</definedName>
    <definedName name="qwer" localSheetId="23" hidden="1">{"PI_Data",#N/A,TRUE,"P&amp;I Data"}</definedName>
    <definedName name="qwer" localSheetId="24" hidden="1">{"PI_Data",#N/A,TRUE,"P&amp;I Data"}</definedName>
    <definedName name="qwer" localSheetId="25" hidden="1">{"PI_Data",#N/A,TRUE,"P&amp;I Data"}</definedName>
    <definedName name="qwer" localSheetId="27" hidden="1">{"PI_Data",#N/A,TRUE,"P&amp;I Data"}</definedName>
    <definedName name="qwer" localSheetId="28" hidden="1">{"PI_Data",#N/A,TRUE,"P&amp;I Data"}</definedName>
    <definedName name="qwer" localSheetId="29" hidden="1">{"PI_Data",#N/A,TRUE,"P&amp;I Data"}</definedName>
    <definedName name="qwer" localSheetId="30" hidden="1">{"PI_Data",#N/A,TRUE,"P&amp;I Data"}</definedName>
    <definedName name="qwer" localSheetId="31" hidden="1">{"PI_Data",#N/A,TRUE,"P&amp;I Data"}</definedName>
    <definedName name="qwer" localSheetId="32" hidden="1">{"PI_Data",#N/A,TRUE,"P&amp;I Data"}</definedName>
    <definedName name="qwer" localSheetId="33" hidden="1">{"PI_Data",#N/A,TRUE,"P&amp;I Data"}</definedName>
    <definedName name="qwer" localSheetId="34" hidden="1">{"PI_Data",#N/A,TRUE,"P&amp;I Data"}</definedName>
    <definedName name="qwer" localSheetId="35" hidden="1">{"PI_Data",#N/A,TRUE,"P&amp;I Data"}</definedName>
    <definedName name="qwer" localSheetId="9" hidden="1">{"PI_Data",#N/A,TRUE,"P&amp;I Data"}</definedName>
    <definedName name="qwer" localSheetId="11" hidden="1">{"PI_Data",#N/A,TRUE,"P&amp;I Data"}</definedName>
    <definedName name="qwer" localSheetId="12" hidden="1">{"PI_Data",#N/A,TRUE,"P&amp;I Data"}</definedName>
    <definedName name="qwer" localSheetId="13" hidden="1">{"PI_Data",#N/A,TRUE,"P&amp;I Data"}</definedName>
    <definedName name="qwer" localSheetId="14" hidden="1">{"PI_Data",#N/A,TRUE,"P&amp;I Data"}</definedName>
    <definedName name="qwer" hidden="1">{"PI_Data",#N/A,TRUE,"P&amp;I Data"}</definedName>
    <definedName name="QWER1" localSheetId="24" hidden="1">{"PI_Data",#N/A,TRUE,"P&amp;I Data"}</definedName>
    <definedName name="QWER1" hidden="1">{"PI_Data",#N/A,TRUE,"P&amp;I Data"}</definedName>
    <definedName name="qwer2" localSheetId="24" hidden="1">{"PI_Data",#N/A,TRUE,"P&amp;I Data"}</definedName>
    <definedName name="qwer2" hidden="1">{"PI_Data",#N/A,TRUE,"P&amp;I Data"}</definedName>
    <definedName name="QWERX" localSheetId="24"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 localSheetId="23" hidden="1">23</definedName>
    <definedName name="SAPBEXrevision">9</definedName>
    <definedName name="SAPBEXsysID">"BPR"</definedName>
    <definedName name="SAPBEXwbID" localSheetId="23" hidden="1">"4HQ4VKTSPDVV7Z9R01RIJVVW7"</definedName>
    <definedName name="SAPBEXwbID">"3XY8MM4SHGBHT4B7F8XEIC63B"</definedName>
    <definedName name="SAPBEXwbID2" localSheetId="23" hidden="1">"43PJT8J5QINLSBNFYJLE3ZU45"</definedName>
    <definedName name="SAPBEXwbID2">"3W3Y8WU9D4KB8I8XZYLB5WWMT"</definedName>
    <definedName name="SAPCrosstab1">#REF!</definedName>
    <definedName name="SAPEXwbID1">"471C2VSNPC28U9XYPMV2AOH11"</definedName>
    <definedName name="sds" localSheetId="24" hidden="1">{"Summary","1",FALSE,"Summary"}</definedName>
    <definedName name="sds" hidden="1">{"Summary","1",FALSE,"Summary"}</definedName>
    <definedName name="sdsb" localSheetId="24" hidden="1">{"Summary","1",FALSE,"Summary"}</definedName>
    <definedName name="sdsb" hidden="1">{"Summary","1",FALSE,"Summary"}</definedName>
    <definedName name="sencount">1</definedName>
    <definedName name="solver_lin" hidden="1">0</definedName>
    <definedName name="solver_num" hidden="1">0</definedName>
    <definedName name="solver_opt" localSheetId="15" hidden="1">#REF!</definedName>
    <definedName name="solver_opt" localSheetId="16" hidden="1">#REF!</definedName>
    <definedName name="solver_opt" localSheetId="17" hidden="1">#REF!</definedName>
    <definedName name="solver_opt" localSheetId="18" hidden="1">#REF!</definedName>
    <definedName name="solver_opt" localSheetId="19" hidden="1">#REF!</definedName>
    <definedName name="solver_opt" localSheetId="20" hidden="1">#REF!</definedName>
    <definedName name="solver_opt" localSheetId="21" hidden="1">#REF!</definedName>
    <definedName name="solver_opt" localSheetId="22" hidden="1">#REF!</definedName>
    <definedName name="solver_opt" localSheetId="25" hidden="1">#REF!</definedName>
    <definedName name="solver_opt" localSheetId="27" hidden="1">#REF!</definedName>
    <definedName name="solver_opt" localSheetId="28" hidden="1">#REF!</definedName>
    <definedName name="solver_opt" localSheetId="29" hidden="1">#REF!</definedName>
    <definedName name="solver_opt" localSheetId="30" hidden="1">#REF!</definedName>
    <definedName name="solver_opt" localSheetId="31" hidden="1">#REF!</definedName>
    <definedName name="solver_opt" localSheetId="32" hidden="1">#REF!</definedName>
    <definedName name="solver_opt" localSheetId="33" hidden="1">#REF!</definedName>
    <definedName name="solver_opt" localSheetId="34" hidden="1">#REF!</definedName>
    <definedName name="solver_opt" localSheetId="35" hidden="1">#REF!</definedName>
    <definedName name="solver_opt" localSheetId="5" hidden="1">#REF!</definedName>
    <definedName name="solver_opt" localSheetId="7" hidden="1">#REF!</definedName>
    <definedName name="solver_opt" localSheetId="8" hidden="1">#REF!</definedName>
    <definedName name="solver_opt" localSheetId="9" hidden="1">#REF!</definedName>
    <definedName name="solver_opt" localSheetId="11" hidden="1">#REF!</definedName>
    <definedName name="solver_opt" localSheetId="12" hidden="1">#REF!</definedName>
    <definedName name="solver_opt" localSheetId="13" hidden="1">#REF!</definedName>
    <definedName name="solver_opt" localSheetId="14" hidden="1">#REF!</definedName>
    <definedName name="solver_opt" hidden="1">#REF!</definedName>
    <definedName name="solver_typ" hidden="1">1</definedName>
    <definedName name="solver_val" hidden="1">0</definedName>
    <definedName name="ssd"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localSheetId="24" hidden="1">{#N/A,#N/A,FALSE,"CTC Summary - EOY";#N/A,#N/A,FALSE,"CTC Summary - Wtavg"}</definedName>
    <definedName name="Step2" hidden="1">{#N/A,#N/A,FALSE,"CTC Summary - EOY";#N/A,#N/A,FALSE,"CTC Summary - Wtavg"}</definedName>
    <definedName name="T" localSheetId="15" hidden="1">{"PI_Data",#N/A,TRUE,"P&amp;I Data"}</definedName>
    <definedName name="T" localSheetId="16" hidden="1">{"PI_Data",#N/A,TRUE,"P&amp;I Data"}</definedName>
    <definedName name="T" localSheetId="17" hidden="1">{"PI_Data",#N/A,TRUE,"P&amp;I Data"}</definedName>
    <definedName name="T" localSheetId="18" hidden="1">{"PI_Data",#N/A,TRUE,"P&amp;I Data"}</definedName>
    <definedName name="T" localSheetId="19" hidden="1">{"PI_Data",#N/A,TRUE,"P&amp;I Data"}</definedName>
    <definedName name="T" localSheetId="20" hidden="1">{"PI_Data",#N/A,TRUE,"P&amp;I Data"}</definedName>
    <definedName name="T" localSheetId="21" hidden="1">{"PI_Data",#N/A,TRUE,"P&amp;I Data"}</definedName>
    <definedName name="T" localSheetId="22" hidden="1">{"PI_Data",#N/A,TRUE,"P&amp;I Data"}</definedName>
    <definedName name="T" localSheetId="23" hidden="1">{"PI_Data",#N/A,TRUE,"P&amp;I Data"}</definedName>
    <definedName name="T" localSheetId="24" hidden="1">{"PI_Data",#N/A,TRUE,"P&amp;I Data"}</definedName>
    <definedName name="T" localSheetId="25" hidden="1">{"PI_Data",#N/A,TRUE,"P&amp;I Data"}</definedName>
    <definedName name="T" localSheetId="27" hidden="1">{"PI_Data",#N/A,TRUE,"P&amp;I Data"}</definedName>
    <definedName name="T" localSheetId="28" hidden="1">{"PI_Data",#N/A,TRUE,"P&amp;I Data"}</definedName>
    <definedName name="T" localSheetId="29" hidden="1">{"PI_Data",#N/A,TRUE,"P&amp;I Data"}</definedName>
    <definedName name="T" localSheetId="30" hidden="1">{"PI_Data",#N/A,TRUE,"P&amp;I Data"}</definedName>
    <definedName name="T" localSheetId="31" hidden="1">{"PI_Data",#N/A,TRUE,"P&amp;I Data"}</definedName>
    <definedName name="T" localSheetId="32" hidden="1">{"PI_Data",#N/A,TRUE,"P&amp;I Data"}</definedName>
    <definedName name="T" localSheetId="33" hidden="1">{"PI_Data",#N/A,TRUE,"P&amp;I Data"}</definedName>
    <definedName name="T" localSheetId="34" hidden="1">{"PI_Data",#N/A,TRUE,"P&amp;I Data"}</definedName>
    <definedName name="T" localSheetId="35" hidden="1">{"PI_Data",#N/A,TRUE,"P&amp;I Data"}</definedName>
    <definedName name="T" localSheetId="9" hidden="1">{"PI_Data",#N/A,TRUE,"P&amp;I Data"}</definedName>
    <definedName name="T" localSheetId="11" hidden="1">{"PI_Data",#N/A,TRUE,"P&amp;I Data"}</definedName>
    <definedName name="T" localSheetId="12" hidden="1">{"PI_Data",#N/A,TRUE,"P&amp;I Data"}</definedName>
    <definedName name="T" localSheetId="13" hidden="1">{"PI_Data",#N/A,TRUE,"P&amp;I Data"}</definedName>
    <definedName name="T" localSheetId="14" hidden="1">{"PI_Data",#N/A,TRUE,"P&amp;I Data"}</definedName>
    <definedName name="T" hidden="1">{"PI_Data",#N/A,TRUE,"P&amp;I Data"}</definedName>
    <definedName name="T2X" localSheetId="24" hidden="1">{"PI_Data",#N/A,TRUE,"P&amp;I Data"}</definedName>
    <definedName name="T2X" hidden="1">{"PI_Data",#N/A,TRUE,"P&amp;I Data"}</definedName>
    <definedName name="test" localSheetId="15" hidden="1">{"PI_Data",#N/A,TRUE,"P&amp;I Data"}</definedName>
    <definedName name="test" localSheetId="16" hidden="1">{"PI_Data",#N/A,TRUE,"P&amp;I Data"}</definedName>
    <definedName name="test" localSheetId="17" hidden="1">{"PI_Data",#N/A,TRUE,"P&amp;I Data"}</definedName>
    <definedName name="test" localSheetId="18" hidden="1">{"PI_Data",#N/A,TRUE,"P&amp;I Data"}</definedName>
    <definedName name="test" localSheetId="19" hidden="1">{"PI_Data",#N/A,TRUE,"P&amp;I Data"}</definedName>
    <definedName name="test" localSheetId="20" hidden="1">{"PI_Data",#N/A,TRUE,"P&amp;I Data"}</definedName>
    <definedName name="test" localSheetId="21" hidden="1">{"PI_Data",#N/A,TRUE,"P&amp;I Data"}</definedName>
    <definedName name="test" localSheetId="22" hidden="1">{"PI_Data",#N/A,TRUE,"P&amp;I Data"}</definedName>
    <definedName name="test" localSheetId="24" hidden="1">{"PI_Data",#N/A,TRUE,"P&amp;I Data"}</definedName>
    <definedName name="test" localSheetId="25" hidden="1">{"PI_Data",#N/A,TRUE,"P&amp;I Data"}</definedName>
    <definedName name="test" localSheetId="27" hidden="1">{"PI_Data",#N/A,TRUE,"P&amp;I Data"}</definedName>
    <definedName name="test" localSheetId="28" hidden="1">{"PI_Data",#N/A,TRUE,"P&amp;I Data"}</definedName>
    <definedName name="test" localSheetId="29" hidden="1">{"PI_Data",#N/A,TRUE,"P&amp;I Data"}</definedName>
    <definedName name="test" localSheetId="30" hidden="1">{"PI_Data",#N/A,TRUE,"P&amp;I Data"}</definedName>
    <definedName name="test" localSheetId="31" hidden="1">{"PI_Data",#N/A,TRUE,"P&amp;I Data"}</definedName>
    <definedName name="test" localSheetId="32" hidden="1">{"PI_Data",#N/A,TRUE,"P&amp;I Data"}</definedName>
    <definedName name="test" localSheetId="33" hidden="1">{"PI_Data",#N/A,TRUE,"P&amp;I Data"}</definedName>
    <definedName name="test" localSheetId="34" hidden="1">{"PI_Data",#N/A,TRUE,"P&amp;I Data"}</definedName>
    <definedName name="test" localSheetId="35" hidden="1">{"PI_Data",#N/A,TRUE,"P&amp;I Data"}</definedName>
    <definedName name="test" localSheetId="9" hidden="1">{"PI_Data",#N/A,TRUE,"P&amp;I Data"}</definedName>
    <definedName name="test" localSheetId="11" hidden="1">{"PI_Data",#N/A,TRUE,"P&amp;I Data"}</definedName>
    <definedName name="test" localSheetId="12" hidden="1">{"PI_Data",#N/A,TRUE,"P&amp;I Data"}</definedName>
    <definedName name="test" localSheetId="13" hidden="1">{"PI_Data",#N/A,TRUE,"P&amp;I Data"}</definedName>
    <definedName name="test" localSheetId="14" hidden="1">{"PI_Data",#N/A,TRUE,"P&amp;I Data"}</definedName>
    <definedName name="test"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localSheetId="24" hidden="1">{"PI_Data",#N/A,TRUE,"P&amp;I Data"}</definedName>
    <definedName name="TT" hidden="1">{"PI_Data",#N/A,TRUE,"P&amp;I Data"}</definedName>
    <definedName name="ttttttttttttttttttttttaaaaaaaaaaaa" localSheetId="24" hidden="1">{"PI_Data",#N/A,TRUE,"P&amp;I Data"}</definedName>
    <definedName name="ttttttttttttttttttttttaaaaaaaaaaaa" hidden="1">{"PI_Data",#N/A,TRUE,"P&amp;I Data"}</definedName>
    <definedName name="UCC_500" localSheetId="24" hidden="1">#REF!</definedName>
    <definedName name="UCC_500" hidden="1">#REF!</definedName>
    <definedName name="UCC_510" localSheetId="24" hidden="1">#REF!</definedName>
    <definedName name="UCC_510" hidden="1">#REF!</definedName>
    <definedName name="UCC_800" localSheetId="24" hidden="1">#REF!</definedName>
    <definedName name="UCC_800" hidden="1">#REF!</definedName>
    <definedName name="UCC_801" localSheetId="24" hidden="1">#REF!</definedName>
    <definedName name="UCC_801" hidden="1">#REF!</definedName>
    <definedName name="UCC_802" localSheetId="24" hidden="1">#REF!</definedName>
    <definedName name="UCC_802" hidden="1">#REF!</definedName>
    <definedName name="wrn.Accelerated." localSheetId="15" hidden="1">{#N/A,#N/A,FALSE,"CTC Summary - EOY";#N/A,#N/A,FALSE,"CTC Summary - Wtavg"}</definedName>
    <definedName name="wrn.Accelerated." localSheetId="16" hidden="1">{#N/A,#N/A,FALSE,"CTC Summary - EOY";#N/A,#N/A,FALSE,"CTC Summary - Wtavg"}</definedName>
    <definedName name="wrn.Accelerated." localSheetId="17" hidden="1">{#N/A,#N/A,FALSE,"CTC Summary - EOY";#N/A,#N/A,FALSE,"CTC Summary - Wtavg"}</definedName>
    <definedName name="wrn.Accelerated." localSheetId="18" hidden="1">{#N/A,#N/A,FALSE,"CTC Summary - EOY";#N/A,#N/A,FALSE,"CTC Summary - Wtavg"}</definedName>
    <definedName name="wrn.Accelerated." localSheetId="19" hidden="1">{#N/A,#N/A,FALSE,"CTC Summary - EOY";#N/A,#N/A,FALSE,"CTC Summary - Wtavg"}</definedName>
    <definedName name="wrn.Accelerated." localSheetId="20" hidden="1">{#N/A,#N/A,FALSE,"CTC Summary - EOY";#N/A,#N/A,FALSE,"CTC Summary - Wtavg"}</definedName>
    <definedName name="wrn.Accelerated." localSheetId="21" hidden="1">{#N/A,#N/A,FALSE,"CTC Summary - EOY";#N/A,#N/A,FALSE,"CTC Summary - Wtavg"}</definedName>
    <definedName name="wrn.Accelerated." localSheetId="22" hidden="1">{#N/A,#N/A,FALSE,"CTC Summary - EOY";#N/A,#N/A,FALSE,"CTC Summary - Wtavg"}</definedName>
    <definedName name="wrn.Accelerated." localSheetId="23" hidden="1">{#N/A,#N/A,FALSE,"CTC Summary - EOY";#N/A,#N/A,FALSE,"CTC Summary - Wtavg"}</definedName>
    <definedName name="wrn.Accelerated." localSheetId="24" hidden="1">{#N/A,#N/A,FALSE,"CTC Summary - EOY";#N/A,#N/A,FALSE,"CTC Summary - Wtavg"}</definedName>
    <definedName name="wrn.Accelerated." localSheetId="25" hidden="1">{#N/A,#N/A,FALSE,"CTC Summary - EOY";#N/A,#N/A,FALSE,"CTC Summary - Wtavg"}</definedName>
    <definedName name="wrn.Accelerated." localSheetId="27" hidden="1">{#N/A,#N/A,FALSE,"CTC Summary - EOY";#N/A,#N/A,FALSE,"CTC Summary - Wtavg"}</definedName>
    <definedName name="wrn.Accelerated." localSheetId="28" hidden="1">{#N/A,#N/A,FALSE,"CTC Summary - EOY";#N/A,#N/A,FALSE,"CTC Summary - Wtavg"}</definedName>
    <definedName name="wrn.Accelerated." localSheetId="29" hidden="1">{#N/A,#N/A,FALSE,"CTC Summary - EOY";#N/A,#N/A,FALSE,"CTC Summary - Wtavg"}</definedName>
    <definedName name="wrn.Accelerated." localSheetId="30" hidden="1">{#N/A,#N/A,FALSE,"CTC Summary - EOY";#N/A,#N/A,FALSE,"CTC Summary - Wtavg"}</definedName>
    <definedName name="wrn.Accelerated." localSheetId="31" hidden="1">{#N/A,#N/A,FALSE,"CTC Summary - EOY";#N/A,#N/A,FALSE,"CTC Summary - Wtavg"}</definedName>
    <definedName name="wrn.Accelerated." localSheetId="32" hidden="1">{#N/A,#N/A,FALSE,"CTC Summary - EOY";#N/A,#N/A,FALSE,"CTC Summary - Wtavg"}</definedName>
    <definedName name="wrn.Accelerated." localSheetId="33" hidden="1">{#N/A,#N/A,FALSE,"CTC Summary - EOY";#N/A,#N/A,FALSE,"CTC Summary - Wtavg"}</definedName>
    <definedName name="wrn.Accelerated." localSheetId="34" hidden="1">{#N/A,#N/A,FALSE,"CTC Summary - EOY";#N/A,#N/A,FALSE,"CTC Summary - Wtavg"}</definedName>
    <definedName name="wrn.Accelerated." localSheetId="35" hidden="1">{#N/A,#N/A,FALSE,"CTC Summary - EOY";#N/A,#N/A,FALSE,"CTC Summary - Wtavg"}</definedName>
    <definedName name="wrn.Accelerated." localSheetId="9" hidden="1">{#N/A,#N/A,FALSE,"CTC Summary - EOY";#N/A,#N/A,FALSE,"CTC Summary - Wtavg"}</definedName>
    <definedName name="wrn.Accelerated." localSheetId="11" hidden="1">{#N/A,#N/A,FALSE,"CTC Summary - EOY";#N/A,#N/A,FALSE,"CTC Summary - Wtavg"}</definedName>
    <definedName name="wrn.Accelerated." localSheetId="12" hidden="1">{#N/A,#N/A,FALSE,"CTC Summary - EOY";#N/A,#N/A,FALSE,"CTC Summary - Wtavg"}</definedName>
    <definedName name="wrn.Accelerated." localSheetId="13" hidden="1">{#N/A,#N/A,FALSE,"CTC Summary - EOY";#N/A,#N/A,FALSE,"CTC Summary - Wtavg"}</definedName>
    <definedName name="wrn.Accelerated." localSheetId="14" hidden="1">{#N/A,#N/A,FALSE,"CTC Summary - EOY";#N/A,#N/A,FALSE,"CTC Summary - Wtavg"}</definedName>
    <definedName name="wrn.Accelerated." hidden="1">{#N/A,#N/A,FALSE,"CTC Summary - EOY";#N/A,#N/A,FALSE,"CTC Summary - Wtavg"}</definedName>
    <definedName name="wrn.accellerated1" localSheetId="15" hidden="1">{#N/A,#N/A,FALSE,"CTC Summary - EOY";#N/A,#N/A,FALSE,"CTC Summary - Wtavg"}</definedName>
    <definedName name="wrn.accellerated1" localSheetId="16" hidden="1">{#N/A,#N/A,FALSE,"CTC Summary - EOY";#N/A,#N/A,FALSE,"CTC Summary - Wtavg"}</definedName>
    <definedName name="wrn.accellerated1" localSheetId="17" hidden="1">{#N/A,#N/A,FALSE,"CTC Summary - EOY";#N/A,#N/A,FALSE,"CTC Summary - Wtavg"}</definedName>
    <definedName name="wrn.accellerated1" localSheetId="18" hidden="1">{#N/A,#N/A,FALSE,"CTC Summary - EOY";#N/A,#N/A,FALSE,"CTC Summary - Wtavg"}</definedName>
    <definedName name="wrn.accellerated1" localSheetId="19" hidden="1">{#N/A,#N/A,FALSE,"CTC Summary - EOY";#N/A,#N/A,FALSE,"CTC Summary - Wtavg"}</definedName>
    <definedName name="wrn.accellerated1" localSheetId="20" hidden="1">{#N/A,#N/A,FALSE,"CTC Summary - EOY";#N/A,#N/A,FALSE,"CTC Summary - Wtavg"}</definedName>
    <definedName name="wrn.accellerated1" localSheetId="21" hidden="1">{#N/A,#N/A,FALSE,"CTC Summary - EOY";#N/A,#N/A,FALSE,"CTC Summary - Wtavg"}</definedName>
    <definedName name="wrn.accellerated1" localSheetId="22" hidden="1">{#N/A,#N/A,FALSE,"CTC Summary - EOY";#N/A,#N/A,FALSE,"CTC Summary - Wtavg"}</definedName>
    <definedName name="wrn.accellerated1" localSheetId="23" hidden="1">{#N/A,#N/A,FALSE,"CTC Summary - EOY";#N/A,#N/A,FALSE,"CTC Summary - Wtavg"}</definedName>
    <definedName name="wrn.accellerated1" localSheetId="24" hidden="1">{#N/A,#N/A,FALSE,"CTC Summary - EOY";#N/A,#N/A,FALSE,"CTC Summary - Wtavg"}</definedName>
    <definedName name="wrn.accellerated1" localSheetId="25" hidden="1">{#N/A,#N/A,FALSE,"CTC Summary - EOY";#N/A,#N/A,FALSE,"CTC Summary - Wtavg"}</definedName>
    <definedName name="wrn.accellerated1" localSheetId="27" hidden="1">{#N/A,#N/A,FALSE,"CTC Summary - EOY";#N/A,#N/A,FALSE,"CTC Summary - Wtavg"}</definedName>
    <definedName name="wrn.accellerated1" localSheetId="28" hidden="1">{#N/A,#N/A,FALSE,"CTC Summary - EOY";#N/A,#N/A,FALSE,"CTC Summary - Wtavg"}</definedName>
    <definedName name="wrn.accellerated1" localSheetId="29" hidden="1">{#N/A,#N/A,FALSE,"CTC Summary - EOY";#N/A,#N/A,FALSE,"CTC Summary - Wtavg"}</definedName>
    <definedName name="wrn.accellerated1" localSheetId="30" hidden="1">{#N/A,#N/A,FALSE,"CTC Summary - EOY";#N/A,#N/A,FALSE,"CTC Summary - Wtavg"}</definedName>
    <definedName name="wrn.accellerated1" localSheetId="31" hidden="1">{#N/A,#N/A,FALSE,"CTC Summary - EOY";#N/A,#N/A,FALSE,"CTC Summary - Wtavg"}</definedName>
    <definedName name="wrn.accellerated1" localSheetId="32" hidden="1">{#N/A,#N/A,FALSE,"CTC Summary - EOY";#N/A,#N/A,FALSE,"CTC Summary - Wtavg"}</definedName>
    <definedName name="wrn.accellerated1" localSheetId="33" hidden="1">{#N/A,#N/A,FALSE,"CTC Summary - EOY";#N/A,#N/A,FALSE,"CTC Summary - Wtavg"}</definedName>
    <definedName name="wrn.accellerated1" localSheetId="34" hidden="1">{#N/A,#N/A,FALSE,"CTC Summary - EOY";#N/A,#N/A,FALSE,"CTC Summary - Wtavg"}</definedName>
    <definedName name="wrn.accellerated1" localSheetId="35" hidden="1">{#N/A,#N/A,FALSE,"CTC Summary - EOY";#N/A,#N/A,FALSE,"CTC Summary - Wtavg"}</definedName>
    <definedName name="wrn.accellerated1" localSheetId="9" hidden="1">{#N/A,#N/A,FALSE,"CTC Summary - EOY";#N/A,#N/A,FALSE,"CTC Summary - Wtavg"}</definedName>
    <definedName name="wrn.accellerated1" localSheetId="11" hidden="1">{#N/A,#N/A,FALSE,"CTC Summary - EOY";#N/A,#N/A,FALSE,"CTC Summary - Wtavg"}</definedName>
    <definedName name="wrn.accellerated1" localSheetId="12" hidden="1">{#N/A,#N/A,FALSE,"CTC Summary - EOY";#N/A,#N/A,FALSE,"CTC Summary - Wtavg"}</definedName>
    <definedName name="wrn.accellerated1" localSheetId="13" hidden="1">{#N/A,#N/A,FALSE,"CTC Summary - EOY";#N/A,#N/A,FALSE,"CTC Summary - Wtavg"}</definedName>
    <definedName name="wrn.accellerated1" localSheetId="14" hidden="1">{#N/A,#N/A,FALSE,"CTC Summary - EOY";#N/A,#N/A,FALSE,"CTC Summary - Wtavg"}</definedName>
    <definedName name="wrn.accellerated1" hidden="1">{#N/A,#N/A,FALSE,"CTC Summary - EOY";#N/A,#N/A,FALSE,"CTC Summary - Wtavg"}</definedName>
    <definedName name="wrn.AG." localSheetId="24" hidden="1">{#N/A,#N/A,FALSE,"AG-1";#N/A,#N/A,FALSE,"AG-R";#N/A,#N/A,FALSE,"AG-V";#N/A,#N/A,FALSE,"AG-4";#N/A,#N/A,FALSE,"AG-5";#N/A,#N/A,FALSE,"AG-6";#N/A,#N/A,FALSE,"AG-7"}</definedName>
    <definedName name="wrn.AG." localSheetId="13" hidden="1">{#N/A,#N/A,FALSE,"AG-1";#N/A,#N/A,FALSE,"AG-R";#N/A,#N/A,FALSE,"AG-V";#N/A,#N/A,FALSE,"AG-4";#N/A,#N/A,FALSE,"AG-5";#N/A,#N/A,FALSE,"AG-6";#N/A,#N/A,FALSE,"AG-7"}</definedName>
    <definedName name="wrn.AG." hidden="1">{#N/A,#N/A,FALSE,"AG-1";#N/A,#N/A,FALSE,"AG-R";#N/A,#N/A,FALSE,"AG-V";#N/A,#N/A,FALSE,"AG-4";#N/A,#N/A,FALSE,"AG-5";#N/A,#N/A,FALSE,"AG-6";#N/A,#N/A,FALSE,"AG-7"}</definedName>
    <definedName name="wrn.AGa." localSheetId="24" hidden="1">{#N/A,#N/A,FALSE,"UN-AGRA";#N/A,#N/A,FALSE,"UN-AG1A";#N/A,#N/A,FALSE,"UN-AGVA";#N/A,#N/A,FALSE,"UN-AG4A ";#N/A,#N/A,FALSE,"UN-AG5A";#N/A,#N/A,FALSE,"UN-AG6A";#N/A,#N/A,FALSE,"Dist Calcs";#N/A,#N/A,FALSE,"7A-Avg.";#N/A,#N/A,FALSE,"7A Tier1-avg";#N/A,#N/A,FALSE,"7A Tier2-avg";#N/A,#N/A,FALSE,"Ag-7A Dist Calc"}</definedName>
    <definedName name="wrn.AGa." localSheetId="13"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24"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13"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localSheetId="24" hidden="1">{#N/A,#N/A,FALSE,"A-1, A-6, A-10, A-15";#N/A,#N/A,FALSE,"E-19 Firm";#N/A,#N/A,FALSE,"E-19 Nonfirm";#N/A,#N/A,FALSE,"E-20 Firm ";#N/A,#N/A,FALSE,"E-20 Nonfirm ";#N/A,#N/A,FALSE,"E-25";#N/A,#N/A,FALSE,"E-36, E-37";#N/A,#N/A,FALSE,"LS-1,-2,-3, TC-1, OL-1";#N/A,#N/A,FALSE,"Standby"}</definedName>
    <definedName name="wrn.comind." localSheetId="13"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23" hidden="1">{#N/A,#N/A,FALSE,"Dist Rev at PR ";#N/A,#N/A,FALSE,"Spec";#N/A,#N/A,FALSE,"Res";#N/A,#N/A,FALSE,"Small L&amp;P";#N/A,#N/A,FALSE,"Medium L&amp;P";#N/A,#N/A,FALSE,"E-19";#N/A,#N/A,FALSE,"E-20";#N/A,#N/A,FALSE,"Strtlts &amp; Standby";#N/A,#N/A,FALSE,"A-RTP";#N/A,#N/A,FALSE,"2003mixeduse"}</definedName>
    <definedName name="wrn.Distr." localSheetId="24" hidden="1">{#N/A,#N/A,FALSE,"Dist Rev at PR ";#N/A,#N/A,FALSE,"Spec";#N/A,#N/A,FALSE,"Res";#N/A,#N/A,FALSE,"Small L&amp;P";#N/A,#N/A,FALSE,"Medium L&amp;P";#N/A,#N/A,FALSE,"E-19";#N/A,#N/A,FALSE,"E-20";#N/A,#N/A,FALSE,"Strtlts &amp; Standby";#N/A,#N/A,FALSE,"A-RTP";#N/A,#N/A,FALSE,"2003mixeduse"}</definedName>
    <definedName name="wrn.Distr." localSheetId="13"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v._.Estimators."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localSheetId="24"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localSheetId="24"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localSheetId="24" hidden="1">{"JE9DOLLARS",#N/A,FALSE,"JE9"}</definedName>
    <definedName name="wrn.JE9DOLLARS." hidden="1">{"JE9DOLLARS",#N/A,FALSE,"JE9"}</definedName>
    <definedName name="wrn.JE9DTHS." localSheetId="24" hidden="1">{"JE9DTHS",#N/A,FALSE,"JE9"}</definedName>
    <definedName name="wrn.JE9DTHS." hidden="1">{"JE9DTHS",#N/A,FALSE,"JE9"}</definedName>
    <definedName name="wrn.JE9MCF." localSheetId="24" hidden="1">{"JE9MCF",#N/A,FALSE,"JE9"}</definedName>
    <definedName name="wrn.JE9MCF." hidden="1">{"JE9MCF",#N/A,FALSE,"JE9"}</definedName>
    <definedName name="wrn.ND." localSheetId="23" hidden="1">{#N/A,#N/A,FALSE,"ND Rev at Pres Rates";#N/A,#N/A,FALSE,"Res - Unadj sales";#N/A,#N/A,FALSE,"Small L&amp;P";#N/A,#N/A,FALSE,"Medium L&amp;P";#N/A,#N/A,FALSE,"E-19";#N/A,#N/A,FALSE,"E-20";#N/A,#N/A,FALSE,"Strtlts &amp; Standby";#N/A,#N/A,FALSE,"AG";#N/A,#N/A,FALSE,"A-RTP";#N/A,#N/A,FALSE,"Spec"}</definedName>
    <definedName name="wrn.ND." localSheetId="24" hidden="1">{#N/A,#N/A,FALSE,"ND Rev at Pres Rates";#N/A,#N/A,FALSE,"Res - Unadj sales";#N/A,#N/A,FALSE,"Small L&amp;P";#N/A,#N/A,FALSE,"Medium L&amp;P";#N/A,#N/A,FALSE,"E-19";#N/A,#N/A,FALSE,"E-20";#N/A,#N/A,FALSE,"Strtlts &amp; Standby";#N/A,#N/A,FALSE,"AG";#N/A,#N/A,FALSE,"A-RTP";#N/A,#N/A,FALSE,"Spec"}</definedName>
    <definedName name="wrn.ND." localSheetId="13"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I_Report." localSheetId="15" hidden="1">{"PI_Data",#N/A,TRUE,"P&amp;I Data"}</definedName>
    <definedName name="wrn.PI_Report." localSheetId="16" hidden="1">{"PI_Data",#N/A,TRUE,"P&amp;I Data"}</definedName>
    <definedName name="wrn.PI_Report." localSheetId="17" hidden="1">{"PI_Data",#N/A,TRUE,"P&amp;I Data"}</definedName>
    <definedName name="wrn.PI_Report." localSheetId="18" hidden="1">{"PI_Data",#N/A,TRUE,"P&amp;I Data"}</definedName>
    <definedName name="wrn.PI_Report." localSheetId="19" hidden="1">{"PI_Data",#N/A,TRUE,"P&amp;I Data"}</definedName>
    <definedName name="wrn.PI_Report." localSheetId="20" hidden="1">{"PI_Data",#N/A,TRUE,"P&amp;I Data"}</definedName>
    <definedName name="wrn.PI_Report." localSheetId="21" hidden="1">{"PI_Data",#N/A,TRUE,"P&amp;I Data"}</definedName>
    <definedName name="wrn.PI_Report." localSheetId="22" hidden="1">{"PI_Data",#N/A,TRUE,"P&amp;I Data"}</definedName>
    <definedName name="wrn.PI_Report." localSheetId="23" hidden="1">{"PI_Data",#N/A,TRUE,"P&amp;I Data"}</definedName>
    <definedName name="wrn.PI_Report." localSheetId="24" hidden="1">{"PI_Data",#N/A,TRUE,"P&amp;I Data"}</definedName>
    <definedName name="wrn.PI_Report." localSheetId="25" hidden="1">{"PI_Data",#N/A,TRUE,"P&amp;I Data"}</definedName>
    <definedName name="wrn.PI_Report." localSheetId="27" hidden="1">{"PI_Data",#N/A,TRUE,"P&amp;I Data"}</definedName>
    <definedName name="wrn.PI_Report." localSheetId="28" hidden="1">{"PI_Data",#N/A,TRUE,"P&amp;I Data"}</definedName>
    <definedName name="wrn.PI_Report." localSheetId="29" hidden="1">{"PI_Data",#N/A,TRUE,"P&amp;I Data"}</definedName>
    <definedName name="wrn.PI_Report." localSheetId="30" hidden="1">{"PI_Data",#N/A,TRUE,"P&amp;I Data"}</definedName>
    <definedName name="wrn.PI_Report." localSheetId="31" hidden="1">{"PI_Data",#N/A,TRUE,"P&amp;I Data"}</definedName>
    <definedName name="wrn.PI_Report." localSheetId="32" hidden="1">{"PI_Data",#N/A,TRUE,"P&amp;I Data"}</definedName>
    <definedName name="wrn.PI_Report." localSheetId="33" hidden="1">{"PI_Data",#N/A,TRUE,"P&amp;I Data"}</definedName>
    <definedName name="wrn.PI_Report." localSheetId="34" hidden="1">{"PI_Data",#N/A,TRUE,"P&amp;I Data"}</definedName>
    <definedName name="wrn.PI_Report." localSheetId="35" hidden="1">{"PI_Data",#N/A,TRUE,"P&amp;I Data"}</definedName>
    <definedName name="wrn.PI_Report." localSheetId="9" hidden="1">{"PI_Data",#N/A,TRUE,"P&amp;I Data"}</definedName>
    <definedName name="wrn.PI_Report." localSheetId="11" hidden="1">{"PI_Data",#N/A,TRUE,"P&amp;I Data"}</definedName>
    <definedName name="wrn.PI_Report." localSheetId="12" hidden="1">{"PI_Data",#N/A,TRUE,"P&amp;I Data"}</definedName>
    <definedName name="wrn.PI_Report." localSheetId="13" hidden="1">{"PI_Data",#N/A,TRUE,"P&amp;I Data"}</definedName>
    <definedName name="wrn.PI_Report." localSheetId="14" hidden="1">{"PI_Data",#N/A,TRUE,"P&amp;I Data"}</definedName>
    <definedName name="wrn.PI_Report." hidden="1">{"PI_Data",#N/A,TRUE,"P&amp;I Data"}</definedName>
    <definedName name="wrn.Print._.1_8."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2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15" hidden="1">{#N/A,#N/A,FALSE,"Transmission Revenue Allocation";"Marginal Cost Revenues",#N/A,FALSE,"MC Revenues- 01 sales, 96 MC's";#N/A,#N/A,FALSE,"1996 marginal costs -ECAC Adopt"}</definedName>
    <definedName name="wrn.printout." localSheetId="16" hidden="1">{#N/A,#N/A,FALSE,"Transmission Revenue Allocation";"Marginal Cost Revenues",#N/A,FALSE,"MC Revenues- 01 sales, 96 MC's";#N/A,#N/A,FALSE,"1996 marginal costs -ECAC Adopt"}</definedName>
    <definedName name="wrn.printout." localSheetId="17" hidden="1">{#N/A,#N/A,FALSE,"Transmission Revenue Allocation";"Marginal Cost Revenues",#N/A,FALSE,"MC Revenues- 01 sales, 96 MC's";#N/A,#N/A,FALSE,"1996 marginal costs -ECAC Adopt"}</definedName>
    <definedName name="wrn.printout." localSheetId="18" hidden="1">{#N/A,#N/A,FALSE,"Transmission Revenue Allocation";"Marginal Cost Revenues",#N/A,FALSE,"MC Revenues- 01 sales, 96 MC's";#N/A,#N/A,FALSE,"1996 marginal costs -ECAC Adopt"}</definedName>
    <definedName name="wrn.printout." localSheetId="19" hidden="1">{#N/A,#N/A,FALSE,"Transmission Revenue Allocation";"Marginal Cost Revenues",#N/A,FALSE,"MC Revenues- 01 sales, 96 MC's";#N/A,#N/A,FALSE,"1996 marginal costs -ECAC Adopt"}</definedName>
    <definedName name="wrn.printout." localSheetId="20" hidden="1">{#N/A,#N/A,FALSE,"Transmission Revenue Allocation";"Marginal Cost Revenues",#N/A,FALSE,"MC Revenues- 01 sales, 96 MC's";#N/A,#N/A,FALSE,"1996 marginal costs -ECAC Adopt"}</definedName>
    <definedName name="wrn.printout." localSheetId="21" hidden="1">{#N/A,#N/A,FALSE,"Transmission Revenue Allocation";"Marginal Cost Revenues",#N/A,FALSE,"MC Revenues- 01 sales, 96 MC's";#N/A,#N/A,FALSE,"1996 marginal costs -ECAC Adopt"}</definedName>
    <definedName name="wrn.printout." localSheetId="22" hidden="1">{#N/A,#N/A,FALSE,"Transmission Revenue Allocation";"Marginal Cost Revenues",#N/A,FALSE,"MC Revenues- 01 sales, 96 MC's";#N/A,#N/A,FALSE,"1996 marginal costs -ECAC Adopt"}</definedName>
    <definedName name="wrn.printout." localSheetId="24" hidden="1">{#N/A,#N/A,FALSE,"Transmission Revenue Allocation";"Marginal Cost Revenues",#N/A,FALSE,"MC Revenues- 01 sales, 96 MC's";#N/A,#N/A,FALSE,"1996 marginal costs -ECAC Adopt"}</definedName>
    <definedName name="wrn.printout." localSheetId="25" hidden="1">{#N/A,#N/A,FALSE,"Transmission Revenue Allocation";"Marginal Cost Revenues",#N/A,FALSE,"MC Revenues- 01 sales, 96 MC's";#N/A,#N/A,FALSE,"1996 marginal costs -ECAC Adopt"}</definedName>
    <definedName name="wrn.printout." localSheetId="27" hidden="1">{#N/A,#N/A,FALSE,"Transmission Revenue Allocation";"Marginal Cost Revenues",#N/A,FALSE,"MC Revenues- 01 sales, 96 MC's";#N/A,#N/A,FALSE,"1996 marginal costs -ECAC Adopt"}</definedName>
    <definedName name="wrn.printout." localSheetId="28" hidden="1">{#N/A,#N/A,FALSE,"Transmission Revenue Allocation";"Marginal Cost Revenues",#N/A,FALSE,"MC Revenues- 01 sales, 96 MC's";#N/A,#N/A,FALSE,"1996 marginal costs -ECAC Adopt"}</definedName>
    <definedName name="wrn.printout." localSheetId="29" hidden="1">{#N/A,#N/A,FALSE,"Transmission Revenue Allocation";"Marginal Cost Revenues",#N/A,FALSE,"MC Revenues- 01 sales, 96 MC's";#N/A,#N/A,FALSE,"1996 marginal costs -ECAC Adopt"}</definedName>
    <definedName name="wrn.printout." localSheetId="30" hidden="1">{#N/A,#N/A,FALSE,"Transmission Revenue Allocation";"Marginal Cost Revenues",#N/A,FALSE,"MC Revenues- 01 sales, 96 MC's";#N/A,#N/A,FALSE,"1996 marginal costs -ECAC Adopt"}</definedName>
    <definedName name="wrn.printout." localSheetId="31" hidden="1">{#N/A,#N/A,FALSE,"Transmission Revenue Allocation";"Marginal Cost Revenues",#N/A,FALSE,"MC Revenues- 01 sales, 96 MC's";#N/A,#N/A,FALSE,"1996 marginal costs -ECAC Adopt"}</definedName>
    <definedName name="wrn.printout." localSheetId="32" hidden="1">{#N/A,#N/A,FALSE,"Transmission Revenue Allocation";"Marginal Cost Revenues",#N/A,FALSE,"MC Revenues- 01 sales, 96 MC's";#N/A,#N/A,FALSE,"1996 marginal costs -ECAC Adopt"}</definedName>
    <definedName name="wrn.printout." localSheetId="33" hidden="1">{#N/A,#N/A,FALSE,"Transmission Revenue Allocation";"Marginal Cost Revenues",#N/A,FALSE,"MC Revenues- 01 sales, 96 MC's";#N/A,#N/A,FALSE,"1996 marginal costs -ECAC Adopt"}</definedName>
    <definedName name="wrn.printout." localSheetId="34" hidden="1">{#N/A,#N/A,FALSE,"Transmission Revenue Allocation";"Marginal Cost Revenues",#N/A,FALSE,"MC Revenues- 01 sales, 96 MC's";#N/A,#N/A,FALSE,"1996 marginal costs -ECAC Adopt"}</definedName>
    <definedName name="wrn.printout." localSheetId="35" hidden="1">{#N/A,#N/A,FALSE,"Transmission Revenue Allocation";"Marginal Cost Revenues",#N/A,FALSE,"MC Revenues- 01 sales, 96 MC's";#N/A,#N/A,FALSE,"1996 marginal costs -ECAC Adopt"}</definedName>
    <definedName name="wrn.printout." localSheetId="11" hidden="1">{#N/A,#N/A,FALSE,"Transmission Revenue Allocation";"Marginal Cost Revenues",#N/A,FALSE,"MC Revenues- 01 sales, 96 MC's";#N/A,#N/A,FALSE,"1996 marginal costs -ECAC Adopt"}</definedName>
    <definedName name="wrn.printout." localSheetId="12" hidden="1">{#N/A,#N/A,FALSE,"Transmission Revenue Allocation";"Marginal Cost Revenues",#N/A,FALSE,"MC Revenues- 01 sales, 96 MC's";#N/A,#N/A,FALSE,"1996 marginal costs -ECAC Adopt"}</definedName>
    <definedName name="wrn.printout." localSheetId="13" hidden="1">{#N/A,#N/A,FALSE,"Transmission Revenue Allocation";"Marginal Cost Revenues",#N/A,FALSE,"MC Revenues- 01 sales, 96 MC's";#N/A,#N/A,FALSE,"1996 marginal costs -ECAC Adopt"}</definedName>
    <definedName name="wrn.printout." localSheetId="14" hidden="1">{#N/A,#N/A,FALSE,"Transmission Revenue Allocation";"Marginal Cost Revenues",#N/A,FALSE,"MC Revenues- 01 sales, 96 MC's";#N/A,#N/A,FALSE,"1996 marginal costs -ECAC Adopt"}</definedName>
    <definedName name="wrn.printout." hidden="1">{#N/A,#N/A,FALSE,"Transmission Revenue Allocation";"Marginal Cost Revenues",#N/A,FALSE,"MC Revenues- 01 sales, 96 MC's";#N/A,#N/A,FALSE,"1996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24" hidden="1">{#N/A,#N/A,FALSE,"E-1, EM, ES";#N/A,#N/A,FALSE,"ESR, ET";#N/A,#N/A,FALSE,"E-7, E-A7";#N/A,#N/A,FALSE,"E-8";#N/A,#N/A,FALSE,"E-9 A, B, C, D";#N/A,#N/A,FALSE,"EL-1, EML";#N/A,#N/A,FALSE,"ESL, ESRL";#N/A,#N/A,FALSE,"ETL, EL-7";#N/A,#N/A,FALSE,"EL-A7, EL-8"}</definedName>
    <definedName name="wrn.Res." localSheetId="13"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23" hidden="1">{#N/A,#N/A,FALSE,"RRQ inputs ";#N/A,#N/A,FALSE,"FERC Rev @ PR";#N/A,#N/A,FALSE,"Distribution Revenue Allocation";#N/A,#N/A,FALSE,"Nonallocated Revenues";#N/A,#N/A,FALSE,"MC Revenues-03 sales, 96 MC's";#N/A,#N/A,FALSE,"FTA"}</definedName>
    <definedName name="wrn.Rev._.Alloc." localSheetId="2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23" hidden="1">{#N/A,#N/A,FALSE,"ND Rev at Pres Rates";#N/A,#N/A,FALSE,"Res - Unadj";#N/A,#N/A,FALSE,"Small L&amp;P";#N/A,#N/A,FALSE,"Medium L&amp;P";#N/A,#N/A,FALSE,"E-19";#N/A,#N/A,FALSE,"E-20";#N/A,#N/A,FALSE,"A-RTP";#N/A,#N/A,FALSE,"Strtlts &amp; Standby";#N/A,#N/A,FALSE,"AG";#N/A,#N/A,FALSE,"2001mixeduse"}</definedName>
    <definedName name="wrn.schedules." localSheetId="24" hidden="1">{#N/A,#N/A,FALSE,"Res - Unadj";#N/A,#N/A,FALSE,"Small L&amp;P";#N/A,#N/A,FALSE,"Medium L&amp;P";#N/A,#N/A,FALSE,"E-19";#N/A,#N/A,FALSE,"E-20";#N/A,#N/A,FALSE,"A-RTP";#N/A,#N/A,FALSE,"Strtlts &amp; Standby";#N/A,#N/A,FALSE,"AG";#N/A,#N/A,FALSE,"2001mixeduse"}</definedName>
    <definedName name="wrn.schedules." localSheetId="13"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24" hidden="1">{"Summary","1",FALSE,"Summary"}</definedName>
    <definedName name="wrn.sum1." hidden="1">{"Summary","1",FALSE,"Summary"}</definedName>
    <definedName name="x" localSheetId="24" hidden="1">{#N/A,#N/A,FALSE,"CTC Summary - EOY";#N/A,#N/A,FALSE,"CTC Summary - Wtavg"}</definedName>
    <definedName name="x" hidden="1">{#N/A,#N/A,FALSE,"CTC Summary - EOY";#N/A,#N/A,FALSE,"CTC Summary - Wtavg"}</definedName>
    <definedName name="xb"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24"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localSheetId="24"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localSheetId="24"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localSheetId="2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localSheetId="2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localSheetId="24" hidden="1">{#N/A,#N/A,FALSE,"Res - Unadj";#N/A,#N/A,FALSE,"Small L&amp;P";#N/A,#N/A,FALSE,"Medium L&amp;P";#N/A,#N/A,FALSE,"E-19";#N/A,#N/A,FALSE,"E-20";#N/A,#N/A,FALSE,"A-RTP";#N/A,#N/A,FALSE,"Strtlts &amp; Standby";#N/A,#N/A,FALSE,"AG";#N/A,#N/A,FALSE,"2001mixeduse"}</definedName>
    <definedName name="xk" hidden="1">{#N/A,#N/A,FALSE,"Res - Unadj";#N/A,#N/A,FALSE,"Small L&amp;P";#N/A,#N/A,FALSE,"Medium L&amp;P";#N/A,#N/A,FALSE,"E-19";#N/A,#N/A,FALSE,"E-20";#N/A,#N/A,FALSE,"A-RTP";#N/A,#N/A,FALSE,"Strtlts &amp; Standby";#N/A,#N/A,FALSE,"AG";#N/A,#N/A,FALSE,"2001mixeduse"}</definedName>
    <definedName name="xl" localSheetId="24" hidden="1">{"Summary","1",FALSE,"Summary"}</definedName>
    <definedName name="xl" hidden="1">{"Summary","1",FALSE,"Summary"}</definedName>
    <definedName name="xm"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24"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localSheetId="24" hidden="1">{"PI_Data",#N/A,TRUE,"P&amp;I Data"}</definedName>
    <definedName name="zzzzzzzzzzzzzzzzzzzzzzzzzzzzz" hidden="1">{"PI_Data",#N/A,TRUE,"P&amp;I Data"}</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06" l="1"/>
  <c r="E51" i="106"/>
  <c r="D51" i="106"/>
  <c r="H49" i="106"/>
  <c r="I49" i="106" s="1"/>
  <c r="G49" i="106"/>
  <c r="I47" i="106"/>
  <c r="H47" i="106"/>
  <c r="G47" i="106"/>
  <c r="H45" i="106"/>
  <c r="G45" i="106"/>
  <c r="G51" i="106" s="1"/>
  <c r="L42" i="106"/>
  <c r="L54" i="106" s="1"/>
  <c r="F42" i="106"/>
  <c r="F40" i="106"/>
  <c r="E40" i="106"/>
  <c r="D40" i="106"/>
  <c r="H38" i="106"/>
  <c r="I38" i="106" s="1"/>
  <c r="G38" i="106"/>
  <c r="G40" i="106" s="1"/>
  <c r="H36" i="106"/>
  <c r="G36" i="106"/>
  <c r="I36" i="106" s="1"/>
  <c r="I34" i="106"/>
  <c r="H34" i="106"/>
  <c r="G34" i="106"/>
  <c r="F32" i="106"/>
  <c r="E32" i="106"/>
  <c r="D32" i="106"/>
  <c r="I30" i="106"/>
  <c r="H30" i="106"/>
  <c r="G30" i="106"/>
  <c r="H28" i="106"/>
  <c r="G28" i="106"/>
  <c r="G32" i="106" s="1"/>
  <c r="H26" i="106"/>
  <c r="G26" i="106"/>
  <c r="F24" i="106"/>
  <c r="F54" i="106" s="1"/>
  <c r="E24" i="106"/>
  <c r="E42" i="106" s="1"/>
  <c r="D24" i="106"/>
  <c r="D54" i="106" s="1"/>
  <c r="H22" i="106"/>
  <c r="I22" i="106" s="1"/>
  <c r="G22" i="106"/>
  <c r="I20" i="106"/>
  <c r="G20" i="106"/>
  <c r="G18" i="106"/>
  <c r="I18" i="106" s="1"/>
  <c r="A18" i="106"/>
  <c r="N16" i="106"/>
  <c r="I16" i="106"/>
  <c r="H16" i="106"/>
  <c r="G16" i="106"/>
  <c r="G24" i="106" s="1"/>
  <c r="G42" i="106" s="1"/>
  <c r="I14" i="106"/>
  <c r="H14" i="106"/>
  <c r="G14" i="106"/>
  <c r="A14" i="106"/>
  <c r="A16" i="106" s="1"/>
  <c r="N12" i="106"/>
  <c r="I12" i="106"/>
  <c r="G12" i="106"/>
  <c r="N10" i="106"/>
  <c r="G9" i="106"/>
  <c r="F9" i="106"/>
  <c r="H47" i="105"/>
  <c r="L45" i="105"/>
  <c r="L43" i="105"/>
  <c r="L41" i="105"/>
  <c r="L47" i="105" s="1"/>
  <c r="H39" i="105"/>
  <c r="L37" i="105"/>
  <c r="L35" i="105"/>
  <c r="L33" i="105"/>
  <c r="L29" i="105"/>
  <c r="L49" i="105" s="1"/>
  <c r="H29" i="105"/>
  <c r="L27" i="105"/>
  <c r="H27" i="105"/>
  <c r="L25" i="105"/>
  <c r="H25" i="105"/>
  <c r="H23" i="105"/>
  <c r="L21" i="105"/>
  <c r="L19" i="105"/>
  <c r="L17" i="105"/>
  <c r="L15" i="105"/>
  <c r="L13" i="105"/>
  <c r="H13" i="105"/>
  <c r="A13" i="105"/>
  <c r="A15" i="105" s="1"/>
  <c r="A17" i="105" s="1"/>
  <c r="N11" i="105"/>
  <c r="L11" i="105"/>
  <c r="H11" i="105"/>
  <c r="N9" i="105"/>
  <c r="F10" i="94"/>
  <c r="D10" i="94"/>
  <c r="C10" i="94"/>
  <c r="C12" i="94" s="1"/>
  <c r="C6" i="93" s="1"/>
  <c r="C11" i="93" s="1"/>
  <c r="A10" i="94"/>
  <c r="F9" i="94"/>
  <c r="A9" i="94"/>
  <c r="F8" i="94"/>
  <c r="E1" i="94"/>
  <c r="A11" i="93"/>
  <c r="F10" i="93"/>
  <c r="A6" i="93"/>
  <c r="F5" i="93"/>
  <c r="F3" i="93"/>
  <c r="E1" i="93"/>
  <c r="F56" i="92"/>
  <c r="A38" i="92"/>
  <c r="I37" i="92"/>
  <c r="A37" i="92"/>
  <c r="I36" i="92"/>
  <c r="G19" i="92"/>
  <c r="A12" i="92"/>
  <c r="I11" i="92"/>
  <c r="I6" i="92"/>
  <c r="I5" i="92"/>
  <c r="H1" i="92"/>
  <c r="E23" i="91"/>
  <c r="E22" i="91"/>
  <c r="A22" i="91"/>
  <c r="G21" i="91"/>
  <c r="E21" i="91"/>
  <c r="G18" i="91"/>
  <c r="A18" i="91"/>
  <c r="G17" i="91"/>
  <c r="A13" i="91"/>
  <c r="G13" i="91" s="1"/>
  <c r="G12" i="91"/>
  <c r="A8" i="91"/>
  <c r="G8" i="91" s="1"/>
  <c r="G7" i="91"/>
  <c r="G4" i="91"/>
  <c r="C63" i="90"/>
  <c r="C20" i="90"/>
  <c r="C15" i="90"/>
  <c r="C17" i="90" s="1"/>
  <c r="C13" i="90"/>
  <c r="C10" i="90"/>
  <c r="A7" i="90"/>
  <c r="D13" i="90" s="1"/>
  <c r="F6" i="90"/>
  <c r="F4" i="90"/>
  <c r="E59" i="89"/>
  <c r="D58" i="89"/>
  <c r="D57" i="89"/>
  <c r="D56" i="89"/>
  <c r="D55" i="89"/>
  <c r="D54" i="89"/>
  <c r="D53" i="89"/>
  <c r="D52" i="89"/>
  <c r="D51" i="89"/>
  <c r="D50" i="89"/>
  <c r="G49" i="89"/>
  <c r="G50" i="89" s="1"/>
  <c r="D49" i="89"/>
  <c r="G48" i="89"/>
  <c r="H48" i="89" s="1"/>
  <c r="D48" i="89"/>
  <c r="H47" i="89"/>
  <c r="I47" i="89" s="1"/>
  <c r="G47" i="89"/>
  <c r="D47" i="89"/>
  <c r="A47" i="89"/>
  <c r="A48" i="89" s="1"/>
  <c r="K46" i="89"/>
  <c r="H46" i="89"/>
  <c r="E46" i="89"/>
  <c r="J46" i="89" s="1"/>
  <c r="J47" i="89" s="1"/>
  <c r="K45" i="89"/>
  <c r="A32" i="89"/>
  <c r="A33" i="89" s="1"/>
  <c r="K31" i="89"/>
  <c r="K29" i="89"/>
  <c r="D22" i="89"/>
  <c r="E14" i="89"/>
  <c r="D14" i="89"/>
  <c r="A14" i="89"/>
  <c r="A15" i="89" s="1"/>
  <c r="K13" i="89"/>
  <c r="E13" i="89"/>
  <c r="E15" i="89" s="1"/>
  <c r="D13" i="89"/>
  <c r="D15" i="89" s="1"/>
  <c r="K12" i="89"/>
  <c r="A9" i="89"/>
  <c r="K8" i="89"/>
  <c r="A8" i="89"/>
  <c r="K7" i="89"/>
  <c r="K6" i="89"/>
  <c r="C15" i="88"/>
  <c r="C16" i="88" s="1"/>
  <c r="A14" i="88"/>
  <c r="A15" i="88" s="1"/>
  <c r="F13" i="88"/>
  <c r="F12" i="88"/>
  <c r="C8" i="88"/>
  <c r="C9" i="88" s="1"/>
  <c r="F7" i="88"/>
  <c r="A7" i="88"/>
  <c r="F6" i="88"/>
  <c r="F5" i="88"/>
  <c r="D37" i="87"/>
  <c r="A37" i="87"/>
  <c r="A38" i="87" s="1"/>
  <c r="G36" i="87"/>
  <c r="G35" i="87"/>
  <c r="A30" i="87"/>
  <c r="A31" i="87" s="1"/>
  <c r="G29" i="87"/>
  <c r="A29" i="87"/>
  <c r="G28" i="87"/>
  <c r="D28" i="87"/>
  <c r="G27" i="87"/>
  <c r="E23" i="87"/>
  <c r="F23" i="87" s="1"/>
  <c r="E22" i="87"/>
  <c r="F22" i="87" s="1"/>
  <c r="E21" i="87"/>
  <c r="F21" i="87" s="1"/>
  <c r="E20" i="87"/>
  <c r="F20" i="87" s="1"/>
  <c r="E19" i="87"/>
  <c r="F19" i="87" s="1"/>
  <c r="E18" i="87"/>
  <c r="F18" i="87" s="1"/>
  <c r="A18" i="87"/>
  <c r="A19" i="87" s="1"/>
  <c r="G17" i="87"/>
  <c r="E17" i="87"/>
  <c r="D17" i="87"/>
  <c r="C17" i="87"/>
  <c r="C10" i="87"/>
  <c r="A9" i="87"/>
  <c r="D10" i="87" s="1"/>
  <c r="G8" i="87"/>
  <c r="A8" i="87"/>
  <c r="G6" i="87"/>
  <c r="G5" i="87"/>
  <c r="H61" i="86"/>
  <c r="H60" i="86"/>
  <c r="H59" i="86"/>
  <c r="H58" i="86"/>
  <c r="H57" i="86"/>
  <c r="H56" i="86"/>
  <c r="H55" i="86"/>
  <c r="H54" i="86"/>
  <c r="H53" i="86"/>
  <c r="H52" i="86"/>
  <c r="H51" i="86"/>
  <c r="H50" i="86"/>
  <c r="H49" i="86"/>
  <c r="H48" i="86"/>
  <c r="H47" i="86"/>
  <c r="H46" i="86"/>
  <c r="H45" i="86"/>
  <c r="A45" i="86"/>
  <c r="A46" i="86" s="1"/>
  <c r="I44" i="86"/>
  <c r="H44" i="86"/>
  <c r="G44" i="86"/>
  <c r="F44" i="86"/>
  <c r="E44" i="86"/>
  <c r="A44" i="86"/>
  <c r="K44" i="86" s="1"/>
  <c r="K43" i="86"/>
  <c r="H41" i="86"/>
  <c r="H40" i="86"/>
  <c r="H39" i="86"/>
  <c r="H38" i="86"/>
  <c r="H37" i="86"/>
  <c r="A37" i="86"/>
  <c r="A38" i="86" s="1"/>
  <c r="K36" i="86"/>
  <c r="I36" i="86"/>
  <c r="G36" i="86"/>
  <c r="G10" i="86" s="1"/>
  <c r="E45" i="92" s="1"/>
  <c r="F36" i="86"/>
  <c r="H36" i="86" s="1"/>
  <c r="E36" i="86"/>
  <c r="A36" i="86"/>
  <c r="K35" i="86"/>
  <c r="H33" i="86"/>
  <c r="H32" i="86"/>
  <c r="H31" i="86"/>
  <c r="A31" i="86"/>
  <c r="A32" i="86" s="1"/>
  <c r="A33" i="86" s="1"/>
  <c r="K33" i="86" s="1"/>
  <c r="I30" i="86"/>
  <c r="H30" i="86"/>
  <c r="G30" i="86"/>
  <c r="F30" i="86"/>
  <c r="E30" i="86"/>
  <c r="A30" i="86"/>
  <c r="K30" i="86" s="1"/>
  <c r="K29" i="86"/>
  <c r="H27" i="86"/>
  <c r="H26" i="86"/>
  <c r="H25" i="86"/>
  <c r="H24" i="86"/>
  <c r="H23" i="86"/>
  <c r="H22" i="86"/>
  <c r="H21" i="86"/>
  <c r="I20" i="86"/>
  <c r="H20" i="86"/>
  <c r="G20" i="86"/>
  <c r="F20" i="86"/>
  <c r="E20" i="86"/>
  <c r="E10" i="86" s="1"/>
  <c r="A20" i="86"/>
  <c r="A21" i="86" s="1"/>
  <c r="A22" i="86" s="1"/>
  <c r="K19" i="86"/>
  <c r="H17" i="86"/>
  <c r="H16" i="86"/>
  <c r="A16" i="86"/>
  <c r="H15" i="86"/>
  <c r="A15" i="86"/>
  <c r="K15" i="86" s="1"/>
  <c r="K14" i="86"/>
  <c r="I14" i="86"/>
  <c r="G14" i="86"/>
  <c r="F14" i="86"/>
  <c r="H14" i="86" s="1"/>
  <c r="H10" i="86" s="1"/>
  <c r="E14" i="86"/>
  <c r="A14" i="86"/>
  <c r="K13" i="86"/>
  <c r="K10" i="86"/>
  <c r="I10" i="86"/>
  <c r="C6" i="87" s="1"/>
  <c r="K9" i="86"/>
  <c r="M65" i="85"/>
  <c r="L65" i="85"/>
  <c r="K65" i="85"/>
  <c r="J65" i="85"/>
  <c r="I65" i="85"/>
  <c r="H65" i="85"/>
  <c r="G65" i="85"/>
  <c r="F65" i="85"/>
  <c r="E65" i="85"/>
  <c r="E64" i="85"/>
  <c r="E63" i="85"/>
  <c r="E62" i="85"/>
  <c r="E61" i="85"/>
  <c r="E60" i="85"/>
  <c r="E59" i="85"/>
  <c r="E58" i="85"/>
  <c r="E57" i="85"/>
  <c r="E56" i="85"/>
  <c r="E55" i="85"/>
  <c r="E54" i="85"/>
  <c r="E53" i="85"/>
  <c r="E52" i="85"/>
  <c r="E51" i="85"/>
  <c r="A51" i="85"/>
  <c r="N51" i="85" s="1"/>
  <c r="A49" i="85"/>
  <c r="A50" i="85" s="1"/>
  <c r="N50" i="85" s="1"/>
  <c r="N48" i="85"/>
  <c r="F40" i="85"/>
  <c r="A27" i="85"/>
  <c r="A26" i="85"/>
  <c r="N26" i="85" s="1"/>
  <c r="N25" i="85"/>
  <c r="J23" i="85"/>
  <c r="I23" i="85"/>
  <c r="G23" i="85"/>
  <c r="E23" i="85"/>
  <c r="I22" i="85"/>
  <c r="K22" i="85" s="1"/>
  <c r="K21" i="85"/>
  <c r="I21" i="85"/>
  <c r="I20" i="85"/>
  <c r="K20" i="85" s="1"/>
  <c r="K19" i="85"/>
  <c r="I19" i="85"/>
  <c r="I18" i="85"/>
  <c r="K18" i="85" s="1"/>
  <c r="K17" i="85"/>
  <c r="I17" i="85"/>
  <c r="I16" i="85"/>
  <c r="K16" i="85" s="1"/>
  <c r="K15" i="85"/>
  <c r="I15" i="85"/>
  <c r="I14" i="85"/>
  <c r="K14" i="85" s="1"/>
  <c r="K13" i="85"/>
  <c r="F28" i="85" s="1"/>
  <c r="F37" i="85" s="1"/>
  <c r="I13" i="85"/>
  <c r="I12" i="85"/>
  <c r="K12" i="85" s="1"/>
  <c r="K11" i="85"/>
  <c r="I11" i="85"/>
  <c r="I10" i="85"/>
  <c r="K10" i="85" s="1"/>
  <c r="K9" i="85"/>
  <c r="I9" i="85"/>
  <c r="A6" i="85"/>
  <c r="A7" i="85" s="1"/>
  <c r="N5" i="85"/>
  <c r="K37" i="84"/>
  <c r="J37" i="84"/>
  <c r="I37" i="84"/>
  <c r="F37" i="84"/>
  <c r="K36" i="84"/>
  <c r="J36" i="84"/>
  <c r="I36" i="84"/>
  <c r="F36" i="84"/>
  <c r="K35" i="84"/>
  <c r="J35" i="84"/>
  <c r="L35" i="84" s="1"/>
  <c r="I35" i="84"/>
  <c r="F35" i="84"/>
  <c r="L34" i="84"/>
  <c r="K34" i="84"/>
  <c r="J34" i="84"/>
  <c r="I34" i="84"/>
  <c r="F34" i="84"/>
  <c r="B34" i="84"/>
  <c r="K33" i="84"/>
  <c r="L33" i="84" s="1"/>
  <c r="J33" i="84"/>
  <c r="I33" i="84"/>
  <c r="F33" i="84"/>
  <c r="L32" i="84"/>
  <c r="K32" i="84"/>
  <c r="J32" i="84"/>
  <c r="I32" i="84"/>
  <c r="F32" i="84"/>
  <c r="K31" i="84"/>
  <c r="J31" i="84"/>
  <c r="L31" i="84" s="1"/>
  <c r="I31" i="84"/>
  <c r="F31" i="84"/>
  <c r="B31" i="84"/>
  <c r="B32" i="84" s="1"/>
  <c r="K30" i="84"/>
  <c r="L30" i="84" s="1"/>
  <c r="J30" i="84"/>
  <c r="I30" i="84"/>
  <c r="F30" i="84"/>
  <c r="L29" i="84"/>
  <c r="K29" i="84"/>
  <c r="J29" i="84"/>
  <c r="I29" i="84"/>
  <c r="F29" i="84"/>
  <c r="B29" i="84"/>
  <c r="B30" i="84" s="1"/>
  <c r="L28" i="84"/>
  <c r="K28" i="84"/>
  <c r="J28" i="84"/>
  <c r="I28" i="84"/>
  <c r="F28" i="84"/>
  <c r="K27" i="84"/>
  <c r="J27" i="84"/>
  <c r="I27" i="84"/>
  <c r="F27" i="84"/>
  <c r="K26" i="84"/>
  <c r="J26" i="84"/>
  <c r="I26" i="84"/>
  <c r="F26" i="84"/>
  <c r="L25" i="84"/>
  <c r="K25" i="84"/>
  <c r="J25" i="84"/>
  <c r="I25" i="84"/>
  <c r="F25" i="84"/>
  <c r="K24" i="84"/>
  <c r="O24" i="84" s="1"/>
  <c r="J24" i="84"/>
  <c r="N24" i="84" s="1"/>
  <c r="P24" i="84" s="1"/>
  <c r="I24" i="84"/>
  <c r="F24" i="84"/>
  <c r="K23" i="84"/>
  <c r="J23" i="84"/>
  <c r="I23" i="84"/>
  <c r="F23" i="84"/>
  <c r="L22" i="84"/>
  <c r="K22" i="84"/>
  <c r="J22" i="84"/>
  <c r="I22" i="84"/>
  <c r="F22" i="84"/>
  <c r="L21" i="84"/>
  <c r="K21" i="84"/>
  <c r="J21" i="84"/>
  <c r="I21" i="84"/>
  <c r="F21" i="84"/>
  <c r="K20" i="84"/>
  <c r="J20" i="84"/>
  <c r="I20" i="84"/>
  <c r="F20" i="84"/>
  <c r="K19" i="84"/>
  <c r="J19" i="84"/>
  <c r="L19" i="84" s="1"/>
  <c r="I19" i="84"/>
  <c r="F19" i="84"/>
  <c r="K18" i="84"/>
  <c r="J18" i="84"/>
  <c r="L18" i="84" s="1"/>
  <c r="I18" i="84"/>
  <c r="F18" i="84"/>
  <c r="L17" i="84"/>
  <c r="K17" i="84"/>
  <c r="J17" i="84"/>
  <c r="I17" i="84"/>
  <c r="F17" i="84"/>
  <c r="K16" i="84"/>
  <c r="J16" i="84"/>
  <c r="I16" i="84"/>
  <c r="F16" i="84"/>
  <c r="K15" i="84"/>
  <c r="J15" i="84"/>
  <c r="I15" i="84"/>
  <c r="F15" i="84"/>
  <c r="L14" i="84"/>
  <c r="K14" i="84"/>
  <c r="J14" i="84"/>
  <c r="I14" i="84"/>
  <c r="F14" i="84"/>
  <c r="L13" i="84"/>
  <c r="K13" i="84"/>
  <c r="J13" i="84"/>
  <c r="I13" i="84"/>
  <c r="F13" i="84"/>
  <c r="K12" i="84"/>
  <c r="J12" i="84"/>
  <c r="I12" i="84"/>
  <c r="F12" i="84"/>
  <c r="K11" i="84"/>
  <c r="J11" i="84"/>
  <c r="J10" i="84" s="1"/>
  <c r="I11" i="84"/>
  <c r="F11" i="84"/>
  <c r="F10" i="84" s="1"/>
  <c r="A11" i="84"/>
  <c r="A12" i="84" s="1"/>
  <c r="Q10" i="84"/>
  <c r="I10" i="84"/>
  <c r="H10" i="84"/>
  <c r="G10" i="84"/>
  <c r="E10" i="84"/>
  <c r="D10" i="84"/>
  <c r="AP128" i="104"/>
  <c r="BD128" i="104" s="1"/>
  <c r="AN128" i="104"/>
  <c r="BB128" i="104" s="1"/>
  <c r="AL128" i="104"/>
  <c r="AZ128" i="104" s="1"/>
  <c r="Z128" i="104"/>
  <c r="BD127" i="104"/>
  <c r="BB127" i="104"/>
  <c r="AZ127" i="104"/>
  <c r="BF127" i="104" s="1"/>
  <c r="AP127" i="104"/>
  <c r="AN127" i="104"/>
  <c r="AL127" i="104"/>
  <c r="AR127" i="104" s="1"/>
  <c r="Z127" i="104"/>
  <c r="AP126" i="104"/>
  <c r="BD126" i="104" s="1"/>
  <c r="AN126" i="104"/>
  <c r="BB126" i="104" s="1"/>
  <c r="AL126" i="104"/>
  <c r="AZ126" i="104" s="1"/>
  <c r="BF126" i="104" s="1"/>
  <c r="Z126" i="104"/>
  <c r="BD125" i="104"/>
  <c r="BB125" i="104"/>
  <c r="AZ125" i="104"/>
  <c r="BF125" i="104" s="1"/>
  <c r="AP125" i="104"/>
  <c r="AN125" i="104"/>
  <c r="AL125" i="104"/>
  <c r="AR125" i="104" s="1"/>
  <c r="Z125" i="104"/>
  <c r="A125" i="104"/>
  <c r="A126" i="104" s="1"/>
  <c r="BJ124" i="104"/>
  <c r="AP124" i="104"/>
  <c r="BD124" i="104" s="1"/>
  <c r="BD123" i="104" s="1"/>
  <c r="AN124" i="104"/>
  <c r="AN123" i="104" s="1"/>
  <c r="AL124" i="104"/>
  <c r="AZ124" i="104" s="1"/>
  <c r="Z124" i="104"/>
  <c r="Z123" i="104" s="1"/>
  <c r="A124" i="104"/>
  <c r="BJ123" i="104"/>
  <c r="AX123" i="104"/>
  <c r="AV123" i="104"/>
  <c r="AT123" i="104"/>
  <c r="AP123" i="104"/>
  <c r="AH123" i="104"/>
  <c r="AF123" i="104"/>
  <c r="AD123" i="104"/>
  <c r="X123" i="104"/>
  <c r="V123" i="104"/>
  <c r="T123" i="104"/>
  <c r="N123" i="104"/>
  <c r="L123" i="104"/>
  <c r="J123" i="104"/>
  <c r="H123" i="104"/>
  <c r="AZ121" i="104"/>
  <c r="AP121" i="104"/>
  <c r="BD121" i="104" s="1"/>
  <c r="AN121" i="104"/>
  <c r="BB121" i="104" s="1"/>
  <c r="AL121" i="104"/>
  <c r="BD120" i="104"/>
  <c r="BB120" i="104"/>
  <c r="AP120" i="104"/>
  <c r="AN120" i="104"/>
  <c r="Z120" i="104"/>
  <c r="T120" i="104"/>
  <c r="AL120" i="104" s="1"/>
  <c r="AP119" i="104"/>
  <c r="BD119" i="104" s="1"/>
  <c r="AN119" i="104"/>
  <c r="BB119" i="104" s="1"/>
  <c r="AL119" i="104"/>
  <c r="AZ119" i="104" s="1"/>
  <c r="BF119" i="104" s="1"/>
  <c r="Z119" i="104"/>
  <c r="T119" i="104"/>
  <c r="BD118" i="104"/>
  <c r="BB118" i="104"/>
  <c r="AP118" i="104"/>
  <c r="AN118" i="104"/>
  <c r="AN115" i="104" s="1"/>
  <c r="T118" i="104"/>
  <c r="AL118" i="104" s="1"/>
  <c r="A118" i="104"/>
  <c r="BJ118" i="104" s="1"/>
  <c r="BB117" i="104"/>
  <c r="AP117" i="104"/>
  <c r="BD117" i="104" s="1"/>
  <c r="AN117" i="104"/>
  <c r="T117" i="104"/>
  <c r="T115" i="104" s="1"/>
  <c r="A117" i="104"/>
  <c r="BJ117" i="104" s="1"/>
  <c r="BJ116" i="104"/>
  <c r="AP116" i="104"/>
  <c r="BD116" i="104" s="1"/>
  <c r="AN116" i="104"/>
  <c r="BB116" i="104" s="1"/>
  <c r="BB115" i="104" s="1"/>
  <c r="AL116" i="104"/>
  <c r="AR116" i="104" s="1"/>
  <c r="Z116" i="104"/>
  <c r="T116" i="104"/>
  <c r="A116" i="104"/>
  <c r="BJ115" i="104"/>
  <c r="AX115" i="104"/>
  <c r="AV115" i="104"/>
  <c r="AT115" i="104"/>
  <c r="AH115" i="104"/>
  <c r="AF115" i="104"/>
  <c r="AD115" i="104"/>
  <c r="X115" i="104"/>
  <c r="V115" i="104"/>
  <c r="N115" i="104"/>
  <c r="L115" i="104"/>
  <c r="J115" i="104"/>
  <c r="H115" i="104"/>
  <c r="BB112" i="104"/>
  <c r="AZ112" i="104"/>
  <c r="AN112" i="104"/>
  <c r="AL112" i="104"/>
  <c r="Z112" i="104"/>
  <c r="X112" i="104"/>
  <c r="AP112" i="104" s="1"/>
  <c r="AP111" i="104"/>
  <c r="BD111" i="104" s="1"/>
  <c r="AN111" i="104"/>
  <c r="BB111" i="104" s="1"/>
  <c r="AL111" i="104"/>
  <c r="AR111" i="104" s="1"/>
  <c r="Z111" i="104"/>
  <c r="X111" i="104"/>
  <c r="BB110" i="104"/>
  <c r="AZ110" i="104"/>
  <c r="BF110" i="104" s="1"/>
  <c r="AN110" i="104"/>
  <c r="AL110" i="104"/>
  <c r="AR110" i="104" s="1"/>
  <c r="Z110" i="104"/>
  <c r="X110" i="104"/>
  <c r="AP110" i="104" s="1"/>
  <c r="BD110" i="104" s="1"/>
  <c r="AZ109" i="104"/>
  <c r="AP109" i="104"/>
  <c r="BD109" i="104" s="1"/>
  <c r="AN109" i="104"/>
  <c r="BB109" i="104" s="1"/>
  <c r="AL109" i="104"/>
  <c r="Z109" i="104"/>
  <c r="X109" i="104"/>
  <c r="AN108" i="104"/>
  <c r="BB108" i="104" s="1"/>
  <c r="AL108" i="104"/>
  <c r="AZ108" i="104" s="1"/>
  <c r="X108" i="104"/>
  <c r="AP108" i="104" s="1"/>
  <c r="BD108" i="104" s="1"/>
  <c r="BB107" i="104"/>
  <c r="AZ107" i="104"/>
  <c r="AN107" i="104"/>
  <c r="AL107" i="104"/>
  <c r="Z107" i="104"/>
  <c r="X107" i="104"/>
  <c r="AP107" i="104" s="1"/>
  <c r="AP106" i="104"/>
  <c r="BD106" i="104" s="1"/>
  <c r="AN106" i="104"/>
  <c r="BB106" i="104" s="1"/>
  <c r="AL106" i="104"/>
  <c r="AZ106" i="104" s="1"/>
  <c r="BF106" i="104" s="1"/>
  <c r="Z106" i="104"/>
  <c r="X106" i="104"/>
  <c r="BB105" i="104"/>
  <c r="AN105" i="104"/>
  <c r="AN102" i="104" s="1"/>
  <c r="AL105" i="104"/>
  <c r="AZ105" i="104" s="1"/>
  <c r="X105" i="104"/>
  <c r="Z105" i="104" s="1"/>
  <c r="A105" i="104"/>
  <c r="BJ105" i="104" s="1"/>
  <c r="BB104" i="104"/>
  <c r="AZ104" i="104"/>
  <c r="BF104" i="104" s="1"/>
  <c r="AP104" i="104"/>
  <c r="BD104" i="104" s="1"/>
  <c r="AN104" i="104"/>
  <c r="AL104" i="104"/>
  <c r="X104" i="104"/>
  <c r="Z104" i="104" s="1"/>
  <c r="A104" i="104"/>
  <c r="BJ104" i="104" s="1"/>
  <c r="BJ103" i="104"/>
  <c r="AP103" i="104"/>
  <c r="BD103" i="104" s="1"/>
  <c r="AN103" i="104"/>
  <c r="BB103" i="104" s="1"/>
  <c r="BB102" i="104" s="1"/>
  <c r="AL103" i="104"/>
  <c r="AR103" i="104" s="1"/>
  <c r="Z103" i="104"/>
  <c r="X103" i="104"/>
  <c r="A103" i="104"/>
  <c r="BJ102" i="104"/>
  <c r="AX102" i="104"/>
  <c r="AV102" i="104"/>
  <c r="AT102" i="104"/>
  <c r="AH102" i="104"/>
  <c r="AF102" i="104"/>
  <c r="AD102" i="104"/>
  <c r="X102" i="104"/>
  <c r="V102" i="104"/>
  <c r="T102" i="104"/>
  <c r="N102" i="104"/>
  <c r="L102" i="104"/>
  <c r="J102" i="104"/>
  <c r="H102" i="104"/>
  <c r="BD99" i="104"/>
  <c r="AZ99" i="104"/>
  <c r="AP99" i="104"/>
  <c r="AL99" i="104"/>
  <c r="Z99" i="104"/>
  <c r="V99" i="104"/>
  <c r="AN99" i="104" s="1"/>
  <c r="BB99" i="104" s="1"/>
  <c r="AZ98" i="104"/>
  <c r="AP98" i="104"/>
  <c r="BD98" i="104" s="1"/>
  <c r="AN98" i="104"/>
  <c r="AL98" i="104"/>
  <c r="Z98" i="104"/>
  <c r="V98" i="104"/>
  <c r="BD97" i="104"/>
  <c r="AP97" i="104"/>
  <c r="AL97" i="104"/>
  <c r="AZ97" i="104" s="1"/>
  <c r="V97" i="104"/>
  <c r="BD96" i="104"/>
  <c r="AZ96" i="104"/>
  <c r="BF96" i="104" s="1"/>
  <c r="AR96" i="104"/>
  <c r="AP96" i="104"/>
  <c r="AL96" i="104"/>
  <c r="Z96" i="104"/>
  <c r="V96" i="104"/>
  <c r="AN96" i="104" s="1"/>
  <c r="BB96" i="104" s="1"/>
  <c r="AZ95" i="104"/>
  <c r="BF95" i="104" s="1"/>
  <c r="AP95" i="104"/>
  <c r="BD95" i="104" s="1"/>
  <c r="AN95" i="104"/>
  <c r="BB95" i="104" s="1"/>
  <c r="AL95" i="104"/>
  <c r="AR95" i="104" s="1"/>
  <c r="Z95" i="104"/>
  <c r="V95" i="104"/>
  <c r="BD94" i="104"/>
  <c r="AP94" i="104"/>
  <c r="AL94" i="104"/>
  <c r="AZ94" i="104" s="1"/>
  <c r="V94" i="104"/>
  <c r="Z94" i="104" s="1"/>
  <c r="AZ93" i="104"/>
  <c r="AP93" i="104"/>
  <c r="BD93" i="104" s="1"/>
  <c r="AL93" i="104"/>
  <c r="V93" i="104"/>
  <c r="AP92" i="104"/>
  <c r="BD92" i="104" s="1"/>
  <c r="AN92" i="104"/>
  <c r="BB92" i="104" s="1"/>
  <c r="BF92" i="104" s="1"/>
  <c r="AL92" i="104"/>
  <c r="AZ92" i="104" s="1"/>
  <c r="Z92" i="104"/>
  <c r="V92" i="104"/>
  <c r="BD91" i="104"/>
  <c r="AZ91" i="104"/>
  <c r="AP91" i="104"/>
  <c r="AL91" i="104"/>
  <c r="Z91" i="104"/>
  <c r="V91" i="104"/>
  <c r="AN91" i="104" s="1"/>
  <c r="BB91" i="104" s="1"/>
  <c r="AZ90" i="104"/>
  <c r="AP90" i="104"/>
  <c r="BD90" i="104" s="1"/>
  <c r="AN90" i="104"/>
  <c r="BB90" i="104" s="1"/>
  <c r="AL90" i="104"/>
  <c r="V90" i="104"/>
  <c r="Z90" i="104" s="1"/>
  <c r="AP89" i="104"/>
  <c r="BD89" i="104" s="1"/>
  <c r="AL89" i="104"/>
  <c r="AZ89" i="104" s="1"/>
  <c r="Z89" i="104"/>
  <c r="V89" i="104"/>
  <c r="AN89" i="104" s="1"/>
  <c r="BB89" i="104" s="1"/>
  <c r="BF88" i="104"/>
  <c r="BD88" i="104"/>
  <c r="AZ88" i="104"/>
  <c r="AP88" i="104"/>
  <c r="AL88" i="104"/>
  <c r="Z88" i="104"/>
  <c r="V88" i="104"/>
  <c r="AN88" i="104" s="1"/>
  <c r="BB88" i="104" s="1"/>
  <c r="AZ87" i="104"/>
  <c r="AP87" i="104"/>
  <c r="BD87" i="104" s="1"/>
  <c r="AN87" i="104"/>
  <c r="BB87" i="104" s="1"/>
  <c r="AL87" i="104"/>
  <c r="AR87" i="104" s="1"/>
  <c r="Z87" i="104"/>
  <c r="V87" i="104"/>
  <c r="BD86" i="104"/>
  <c r="AP86" i="104"/>
  <c r="AL86" i="104"/>
  <c r="V86" i="104"/>
  <c r="Z86" i="104" s="1"/>
  <c r="BD85" i="104"/>
  <c r="AZ85" i="104"/>
  <c r="AP85" i="104"/>
  <c r="AL85" i="104"/>
  <c r="V85" i="104"/>
  <c r="AP84" i="104"/>
  <c r="BD84" i="104" s="1"/>
  <c r="AN84" i="104"/>
  <c r="BB84" i="104" s="1"/>
  <c r="AL84" i="104"/>
  <c r="AZ84" i="104" s="1"/>
  <c r="BF84" i="104" s="1"/>
  <c r="Z84" i="104"/>
  <c r="V84" i="104"/>
  <c r="BD83" i="104"/>
  <c r="BB83" i="104"/>
  <c r="AP83" i="104"/>
  <c r="AL83" i="104"/>
  <c r="AR83" i="104" s="1"/>
  <c r="Z83" i="104"/>
  <c r="V83" i="104"/>
  <c r="AN83" i="104" s="1"/>
  <c r="BB82" i="104"/>
  <c r="AZ82" i="104"/>
  <c r="AP82" i="104"/>
  <c r="BD82" i="104" s="1"/>
  <c r="AN82" i="104"/>
  <c r="AR82" i="104" s="1"/>
  <c r="AL82" i="104"/>
  <c r="V82" i="104"/>
  <c r="Z82" i="104" s="1"/>
  <c r="BF81" i="104"/>
  <c r="BD81" i="104"/>
  <c r="AP81" i="104"/>
  <c r="AN81" i="104"/>
  <c r="BB81" i="104" s="1"/>
  <c r="AL81" i="104"/>
  <c r="AZ81" i="104" s="1"/>
  <c r="Z81" i="104"/>
  <c r="V81" i="104"/>
  <c r="BD80" i="104"/>
  <c r="BF80" i="104" s="1"/>
  <c r="AZ80" i="104"/>
  <c r="AP80" i="104"/>
  <c r="AL80" i="104"/>
  <c r="Z80" i="104"/>
  <c r="V80" i="104"/>
  <c r="AN80" i="104" s="1"/>
  <c r="BB80" i="104" s="1"/>
  <c r="AP79" i="104"/>
  <c r="BD79" i="104" s="1"/>
  <c r="AN79" i="104"/>
  <c r="BB79" i="104" s="1"/>
  <c r="AL79" i="104"/>
  <c r="AZ79" i="104" s="1"/>
  <c r="BF79" i="104" s="1"/>
  <c r="V79" i="104"/>
  <c r="Z79" i="104" s="1"/>
  <c r="BD78" i="104"/>
  <c r="AP78" i="104"/>
  <c r="AN78" i="104"/>
  <c r="BB78" i="104" s="1"/>
  <c r="AL78" i="104"/>
  <c r="V78" i="104"/>
  <c r="Z78" i="104" s="1"/>
  <c r="BD77" i="104"/>
  <c r="AZ77" i="104"/>
  <c r="AP77" i="104"/>
  <c r="AL77" i="104"/>
  <c r="V77" i="104"/>
  <c r="AP76" i="104"/>
  <c r="BD76" i="104" s="1"/>
  <c r="AN76" i="104"/>
  <c r="BB76" i="104" s="1"/>
  <c r="AL76" i="104"/>
  <c r="AZ76" i="104" s="1"/>
  <c r="BF76" i="104" s="1"/>
  <c r="Z76" i="104"/>
  <c r="V76" i="104"/>
  <c r="BD75" i="104"/>
  <c r="AZ75" i="104"/>
  <c r="AP75" i="104"/>
  <c r="AL75" i="104"/>
  <c r="Z75" i="104"/>
  <c r="V75" i="104"/>
  <c r="AN75" i="104" s="1"/>
  <c r="BB75" i="104" s="1"/>
  <c r="BB74" i="104"/>
  <c r="AZ74" i="104"/>
  <c r="BF74" i="104" s="1"/>
  <c r="AP74" i="104"/>
  <c r="BD74" i="104" s="1"/>
  <c r="AN74" i="104"/>
  <c r="AL74" i="104"/>
  <c r="V74" i="104"/>
  <c r="Z74" i="104" s="1"/>
  <c r="BD73" i="104"/>
  <c r="AP73" i="104"/>
  <c r="AL73" i="104"/>
  <c r="AZ73" i="104" s="1"/>
  <c r="Z73" i="104"/>
  <c r="V73" i="104"/>
  <c r="AN73" i="104" s="1"/>
  <c r="BB73" i="104" s="1"/>
  <c r="BF73" i="104" s="1"/>
  <c r="BD72" i="104"/>
  <c r="AZ72" i="104"/>
  <c r="BF72" i="104" s="1"/>
  <c r="AR72" i="104"/>
  <c r="AP72" i="104"/>
  <c r="AL72" i="104"/>
  <c r="Z72" i="104"/>
  <c r="V72" i="104"/>
  <c r="AN72" i="104" s="1"/>
  <c r="BB72" i="104" s="1"/>
  <c r="AP71" i="104"/>
  <c r="BD71" i="104" s="1"/>
  <c r="AN71" i="104"/>
  <c r="BB71" i="104" s="1"/>
  <c r="AL71" i="104"/>
  <c r="AZ71" i="104" s="1"/>
  <c r="BF71" i="104" s="1"/>
  <c r="Z71" i="104"/>
  <c r="V71" i="104"/>
  <c r="BD70" i="104"/>
  <c r="AP70" i="104"/>
  <c r="AN70" i="104"/>
  <c r="BB70" i="104" s="1"/>
  <c r="AL70" i="104"/>
  <c r="V70" i="104"/>
  <c r="Z70" i="104" s="1"/>
  <c r="BD69" i="104"/>
  <c r="AZ69" i="104"/>
  <c r="AP69" i="104"/>
  <c r="AL69" i="104"/>
  <c r="V69" i="104"/>
  <c r="AR68" i="104"/>
  <c r="AP68" i="104"/>
  <c r="BD68" i="104" s="1"/>
  <c r="AN68" i="104"/>
  <c r="BB68" i="104" s="1"/>
  <c r="AL68" i="104"/>
  <c r="AZ68" i="104" s="1"/>
  <c r="BF68" i="104" s="1"/>
  <c r="Z68" i="104"/>
  <c r="V68" i="104"/>
  <c r="BD67" i="104"/>
  <c r="BB67" i="104"/>
  <c r="AP67" i="104"/>
  <c r="AL67" i="104"/>
  <c r="AR67" i="104" s="1"/>
  <c r="Z67" i="104"/>
  <c r="V67" i="104"/>
  <c r="AN67" i="104" s="1"/>
  <c r="AP66" i="104"/>
  <c r="BD66" i="104" s="1"/>
  <c r="AN66" i="104"/>
  <c r="BB66" i="104" s="1"/>
  <c r="AL66" i="104"/>
  <c r="AZ66" i="104" s="1"/>
  <c r="BF66" i="104" s="1"/>
  <c r="V66" i="104"/>
  <c r="Z66" i="104" s="1"/>
  <c r="AZ65" i="104"/>
  <c r="AP65" i="104"/>
  <c r="BD65" i="104" s="1"/>
  <c r="AL65" i="104"/>
  <c r="V65" i="104"/>
  <c r="AN65" i="104" s="1"/>
  <c r="AZ64" i="104"/>
  <c r="AP64" i="104"/>
  <c r="BD64" i="104" s="1"/>
  <c r="AL64" i="104"/>
  <c r="Z64" i="104"/>
  <c r="V64" i="104"/>
  <c r="AN64" i="104" s="1"/>
  <c r="BD63" i="104"/>
  <c r="AZ63" i="104"/>
  <c r="BF63" i="104" s="1"/>
  <c r="AP63" i="104"/>
  <c r="AN63" i="104"/>
  <c r="BB63" i="104" s="1"/>
  <c r="AL63" i="104"/>
  <c r="AR63" i="104" s="1"/>
  <c r="Z63" i="104"/>
  <c r="V63" i="104"/>
  <c r="BD62" i="104"/>
  <c r="AP62" i="104"/>
  <c r="AN62" i="104"/>
  <c r="BB62" i="104" s="1"/>
  <c r="AL62" i="104"/>
  <c r="AZ62" i="104" s="1"/>
  <c r="V62" i="104"/>
  <c r="Z62" i="104" s="1"/>
  <c r="BD61" i="104"/>
  <c r="AP61" i="104"/>
  <c r="AL61" i="104"/>
  <c r="AZ61" i="104" s="1"/>
  <c r="V61" i="104"/>
  <c r="Z61" i="104" s="1"/>
  <c r="AP60" i="104"/>
  <c r="BD60" i="104" s="1"/>
  <c r="AL60" i="104"/>
  <c r="AZ60" i="104" s="1"/>
  <c r="Z60" i="104"/>
  <c r="V60" i="104"/>
  <c r="AN60" i="104" s="1"/>
  <c r="BB59" i="104"/>
  <c r="AP59" i="104"/>
  <c r="BD59" i="104" s="1"/>
  <c r="AN59" i="104"/>
  <c r="AL59" i="104"/>
  <c r="AZ59" i="104" s="1"/>
  <c r="Z59" i="104"/>
  <c r="V59" i="104"/>
  <c r="BB58" i="104"/>
  <c r="AP58" i="104"/>
  <c r="BD58" i="104" s="1"/>
  <c r="AN58" i="104"/>
  <c r="AL58" i="104"/>
  <c r="AZ58" i="104" s="1"/>
  <c r="BF58" i="104" s="1"/>
  <c r="V58" i="104"/>
  <c r="Z58" i="104" s="1"/>
  <c r="AZ57" i="104"/>
  <c r="AP57" i="104"/>
  <c r="BD57" i="104" s="1"/>
  <c r="AL57" i="104"/>
  <c r="V57" i="104"/>
  <c r="AN57" i="104" s="1"/>
  <c r="AZ56" i="104"/>
  <c r="AP56" i="104"/>
  <c r="BD56" i="104" s="1"/>
  <c r="AL56" i="104"/>
  <c r="Z56" i="104"/>
  <c r="V56" i="104"/>
  <c r="AN56" i="104" s="1"/>
  <c r="AZ55" i="104"/>
  <c r="BF55" i="104" s="1"/>
  <c r="AP55" i="104"/>
  <c r="BD55" i="104" s="1"/>
  <c r="AN55" i="104"/>
  <c r="BB55" i="104" s="1"/>
  <c r="AL55" i="104"/>
  <c r="AR55" i="104" s="1"/>
  <c r="Z55" i="104"/>
  <c r="V55" i="104"/>
  <c r="BD54" i="104"/>
  <c r="AZ54" i="104"/>
  <c r="AP54" i="104"/>
  <c r="AN54" i="104"/>
  <c r="BB54" i="104" s="1"/>
  <c r="AL54" i="104"/>
  <c r="AR54" i="104" s="1"/>
  <c r="V54" i="104"/>
  <c r="Z54" i="104" s="1"/>
  <c r="BD53" i="104"/>
  <c r="AP53" i="104"/>
  <c r="AL53" i="104"/>
  <c r="AZ53" i="104" s="1"/>
  <c r="V53" i="104"/>
  <c r="Z53" i="104" s="1"/>
  <c r="BD52" i="104"/>
  <c r="AP52" i="104"/>
  <c r="AL52" i="104"/>
  <c r="AZ52" i="104" s="1"/>
  <c r="Z52" i="104"/>
  <c r="V52" i="104"/>
  <c r="AN52" i="104" s="1"/>
  <c r="BB51" i="104"/>
  <c r="AP51" i="104"/>
  <c r="BD51" i="104" s="1"/>
  <c r="AN51" i="104"/>
  <c r="AL51" i="104"/>
  <c r="AZ51" i="104" s="1"/>
  <c r="BF51" i="104" s="1"/>
  <c r="Z51" i="104"/>
  <c r="V51" i="104"/>
  <c r="BB50" i="104"/>
  <c r="AP50" i="104"/>
  <c r="BD50" i="104" s="1"/>
  <c r="AN50" i="104"/>
  <c r="AL50" i="104"/>
  <c r="AZ50" i="104" s="1"/>
  <c r="V50" i="104"/>
  <c r="Z50" i="104" s="1"/>
  <c r="AP49" i="104"/>
  <c r="BD49" i="104" s="1"/>
  <c r="AL49" i="104"/>
  <c r="AZ49" i="104" s="1"/>
  <c r="V49" i="104"/>
  <c r="AN49" i="104" s="1"/>
  <c r="AZ48" i="104"/>
  <c r="AP48" i="104"/>
  <c r="BD48" i="104" s="1"/>
  <c r="AL48" i="104"/>
  <c r="Z48" i="104"/>
  <c r="V48" i="104"/>
  <c r="AN48" i="104" s="1"/>
  <c r="AZ47" i="104"/>
  <c r="BF47" i="104" s="1"/>
  <c r="AP47" i="104"/>
  <c r="BD47" i="104" s="1"/>
  <c r="AN47" i="104"/>
  <c r="BB47" i="104" s="1"/>
  <c r="AL47" i="104"/>
  <c r="AR47" i="104" s="1"/>
  <c r="Z47" i="104"/>
  <c r="V47" i="104"/>
  <c r="BD46" i="104"/>
  <c r="BB46" i="104"/>
  <c r="AP46" i="104"/>
  <c r="AN46" i="104"/>
  <c r="AL46" i="104"/>
  <c r="AZ46" i="104" s="1"/>
  <c r="V46" i="104"/>
  <c r="Z46" i="104" s="1"/>
  <c r="AP45" i="104"/>
  <c r="BD45" i="104" s="1"/>
  <c r="AL45" i="104"/>
  <c r="AZ45" i="104" s="1"/>
  <c r="V45" i="104"/>
  <c r="AP44" i="104"/>
  <c r="BD44" i="104" s="1"/>
  <c r="AL44" i="104"/>
  <c r="AZ44" i="104" s="1"/>
  <c r="Z44" i="104"/>
  <c r="V44" i="104"/>
  <c r="AN44" i="104" s="1"/>
  <c r="BB43" i="104"/>
  <c r="AP43" i="104"/>
  <c r="BD43" i="104" s="1"/>
  <c r="AN43" i="104"/>
  <c r="AL43" i="104"/>
  <c r="AR43" i="104" s="1"/>
  <c r="Z43" i="104"/>
  <c r="V43" i="104"/>
  <c r="A43" i="104"/>
  <c r="BJ43" i="104" s="1"/>
  <c r="BJ42" i="104"/>
  <c r="AX42" i="104"/>
  <c r="AV42" i="104"/>
  <c r="AT42" i="104"/>
  <c r="AT14" i="104" s="1"/>
  <c r="AH42" i="104"/>
  <c r="AF42" i="104"/>
  <c r="AD42" i="104"/>
  <c r="X42" i="104"/>
  <c r="T42" i="104"/>
  <c r="N42" i="104"/>
  <c r="N14" i="104" s="1"/>
  <c r="L42" i="104"/>
  <c r="J42" i="104"/>
  <c r="H42" i="104"/>
  <c r="AP39" i="104"/>
  <c r="BD39" i="104" s="1"/>
  <c r="AN39" i="104"/>
  <c r="BB39" i="104" s="1"/>
  <c r="T39" i="104"/>
  <c r="AL39" i="104" s="1"/>
  <c r="AP38" i="104"/>
  <c r="AP34" i="104" s="1"/>
  <c r="AP13" i="104" s="1"/>
  <c r="AN38" i="104"/>
  <c r="BB38" i="104" s="1"/>
  <c r="T38" i="104"/>
  <c r="AZ37" i="104"/>
  <c r="AR37" i="104"/>
  <c r="AP37" i="104"/>
  <c r="BD37" i="104" s="1"/>
  <c r="AN37" i="104"/>
  <c r="BB37" i="104" s="1"/>
  <c r="BF37" i="104" s="1"/>
  <c r="BH37" i="104" s="1"/>
  <c r="AL37" i="104"/>
  <c r="Z37" i="104"/>
  <c r="T37" i="104"/>
  <c r="AZ36" i="104"/>
  <c r="AP36" i="104"/>
  <c r="BD36" i="104" s="1"/>
  <c r="AN36" i="104"/>
  <c r="BB36" i="104" s="1"/>
  <c r="AL36" i="104"/>
  <c r="AR36" i="104" s="1"/>
  <c r="Z36" i="104"/>
  <c r="T36" i="104"/>
  <c r="BD35" i="104"/>
  <c r="BB35" i="104"/>
  <c r="AP35" i="104"/>
  <c r="AN35" i="104"/>
  <c r="T35" i="104"/>
  <c r="AL35" i="104" s="1"/>
  <c r="A35" i="104"/>
  <c r="A36" i="104" s="1"/>
  <c r="BJ34" i="104"/>
  <c r="AX34" i="104"/>
  <c r="AV34" i="104"/>
  <c r="AV13" i="104" s="1"/>
  <c r="AT34" i="104"/>
  <c r="AH34" i="104"/>
  <c r="AF34" i="104"/>
  <c r="AD34" i="104"/>
  <c r="AD13" i="104" s="1"/>
  <c r="X34" i="104"/>
  <c r="V34" i="104"/>
  <c r="T34" i="104"/>
  <c r="T13" i="104" s="1"/>
  <c r="Z13" i="104" s="1"/>
  <c r="N34" i="104"/>
  <c r="L34" i="104"/>
  <c r="J34" i="104"/>
  <c r="H34" i="104"/>
  <c r="H13" i="104" s="1"/>
  <c r="BD31" i="104"/>
  <c r="AP31" i="104"/>
  <c r="AR31" i="104" s="1"/>
  <c r="AN31" i="104"/>
  <c r="BB31" i="104" s="1"/>
  <c r="AL31" i="104"/>
  <c r="AZ31" i="104" s="1"/>
  <c r="BF31" i="104" s="1"/>
  <c r="Z31" i="104"/>
  <c r="AP30" i="104"/>
  <c r="AR30" i="104" s="1"/>
  <c r="AN30" i="104"/>
  <c r="BB30" i="104" s="1"/>
  <c r="AL30" i="104"/>
  <c r="AZ30" i="104" s="1"/>
  <c r="Z30" i="104"/>
  <c r="BD29" i="104"/>
  <c r="AP29" i="104"/>
  <c r="AN29" i="104"/>
  <c r="BB29" i="104" s="1"/>
  <c r="T29" i="104"/>
  <c r="AR28" i="104"/>
  <c r="AP28" i="104"/>
  <c r="BD28" i="104" s="1"/>
  <c r="AN28" i="104"/>
  <c r="BB28" i="104" s="1"/>
  <c r="BB26" i="104" s="1"/>
  <c r="BB12" i="104" s="1"/>
  <c r="AL28" i="104"/>
  <c r="AZ28" i="104" s="1"/>
  <c r="BF28" i="104" s="1"/>
  <c r="BH28" i="104" s="1"/>
  <c r="Z28" i="104"/>
  <c r="T28" i="104"/>
  <c r="BB27" i="104"/>
  <c r="AP27" i="104"/>
  <c r="BD27" i="104" s="1"/>
  <c r="AN27" i="104"/>
  <c r="AL27" i="104"/>
  <c r="AR27" i="104" s="1"/>
  <c r="Z27" i="104"/>
  <c r="T27" i="104"/>
  <c r="A27" i="104"/>
  <c r="BJ27" i="104" s="1"/>
  <c r="BJ26" i="104"/>
  <c r="AX26" i="104"/>
  <c r="AV26" i="104"/>
  <c r="AV12" i="104" s="1"/>
  <c r="AT26" i="104"/>
  <c r="AN26" i="104"/>
  <c r="AN12" i="104" s="1"/>
  <c r="AH26" i="104"/>
  <c r="AF26" i="104"/>
  <c r="AD26" i="104"/>
  <c r="AD12" i="104" s="1"/>
  <c r="X26" i="104"/>
  <c r="V26" i="104"/>
  <c r="N26" i="104"/>
  <c r="L26" i="104"/>
  <c r="J26" i="104"/>
  <c r="H26" i="104"/>
  <c r="H12" i="104" s="1"/>
  <c r="BD22" i="104"/>
  <c r="AX22" i="104"/>
  <c r="AV22" i="104"/>
  <c r="AT22" i="104"/>
  <c r="AP22" i="104"/>
  <c r="AN22" i="104"/>
  <c r="BB22" i="104" s="1"/>
  <c r="AL22" i="104"/>
  <c r="AZ22" i="104" s="1"/>
  <c r="AH22" i="104"/>
  <c r="AF22" i="104"/>
  <c r="AD22" i="104"/>
  <c r="X22" i="104"/>
  <c r="V22" i="104"/>
  <c r="T22" i="104"/>
  <c r="Z22" i="104" s="1"/>
  <c r="N22" i="104"/>
  <c r="L22" i="104"/>
  <c r="J22" i="104"/>
  <c r="H22" i="104"/>
  <c r="AZ21" i="104"/>
  <c r="AX21" i="104"/>
  <c r="AV21" i="104"/>
  <c r="AT21" i="104"/>
  <c r="AP21" i="104"/>
  <c r="AN21" i="104"/>
  <c r="BB21" i="104" s="1"/>
  <c r="AL21" i="104"/>
  <c r="AH21" i="104"/>
  <c r="AF21" i="104"/>
  <c r="AD21" i="104"/>
  <c r="X21" i="104"/>
  <c r="V21" i="104"/>
  <c r="T21" i="104"/>
  <c r="N21" i="104"/>
  <c r="L21" i="104"/>
  <c r="J21" i="104"/>
  <c r="H21" i="104"/>
  <c r="BB20" i="104"/>
  <c r="AX20" i="104"/>
  <c r="AV20" i="104"/>
  <c r="AT20" i="104"/>
  <c r="AP20" i="104"/>
  <c r="BD20" i="104" s="1"/>
  <c r="AN20" i="104"/>
  <c r="AH20" i="104"/>
  <c r="AF20" i="104"/>
  <c r="AD20" i="104"/>
  <c r="X20" i="104"/>
  <c r="Z20" i="104" s="1"/>
  <c r="V20" i="104"/>
  <c r="T20" i="104"/>
  <c r="N20" i="104"/>
  <c r="L20" i="104"/>
  <c r="J20" i="104"/>
  <c r="H20" i="104"/>
  <c r="BB16" i="104"/>
  <c r="AX16" i="104"/>
  <c r="AV16" i="104"/>
  <c r="AT16" i="104"/>
  <c r="AN16" i="104"/>
  <c r="AH16" i="104"/>
  <c r="AF16" i="104"/>
  <c r="AD16" i="104"/>
  <c r="X16" i="104"/>
  <c r="Z16" i="104" s="1"/>
  <c r="V16" i="104"/>
  <c r="T16" i="104"/>
  <c r="N16" i="104"/>
  <c r="L16" i="104"/>
  <c r="J16" i="104"/>
  <c r="H16" i="104"/>
  <c r="BJ15" i="104"/>
  <c r="BB15" i="104"/>
  <c r="AX15" i="104"/>
  <c r="AV15" i="104"/>
  <c r="AT15" i="104"/>
  <c r="AN15" i="104"/>
  <c r="AH15" i="104"/>
  <c r="AF15" i="104"/>
  <c r="AD15" i="104"/>
  <c r="Z15" i="104"/>
  <c r="X15" i="104"/>
  <c r="V15" i="104"/>
  <c r="T15" i="104"/>
  <c r="N15" i="104"/>
  <c r="L15" i="104"/>
  <c r="J15" i="104"/>
  <c r="H15" i="104"/>
  <c r="A15" i="104"/>
  <c r="A16" i="104" s="1"/>
  <c r="AX14" i="104"/>
  <c r="AV14" i="104"/>
  <c r="AH14" i="104"/>
  <c r="AF14" i="104"/>
  <c r="AD14" i="104"/>
  <c r="X14" i="104"/>
  <c r="T14" i="104"/>
  <c r="L14" i="104"/>
  <c r="J14" i="104"/>
  <c r="H14" i="104"/>
  <c r="A14" i="104"/>
  <c r="BJ14" i="104" s="1"/>
  <c r="AX13" i="104"/>
  <c r="AX17" i="104" s="1"/>
  <c r="AX23" i="104" s="1"/>
  <c r="AT13" i="104"/>
  <c r="AH13" i="104"/>
  <c r="AF13" i="104"/>
  <c r="AF17" i="104" s="1"/>
  <c r="AF23" i="104" s="1"/>
  <c r="X13" i="104"/>
  <c r="V13" i="104"/>
  <c r="N13" i="104"/>
  <c r="L13" i="104"/>
  <c r="J13" i="104"/>
  <c r="J17" i="104" s="1"/>
  <c r="J23" i="104" s="1"/>
  <c r="A13" i="104"/>
  <c r="BJ13" i="104" s="1"/>
  <c r="BJ12" i="104"/>
  <c r="AX12" i="104"/>
  <c r="AT12" i="104"/>
  <c r="AT17" i="104" s="1"/>
  <c r="AT23" i="104" s="1"/>
  <c r="AH12" i="104"/>
  <c r="AH17" i="104" s="1"/>
  <c r="AH23" i="104" s="1"/>
  <c r="AF12" i="104"/>
  <c r="X12" i="104"/>
  <c r="V12" i="104"/>
  <c r="N12" i="104"/>
  <c r="N17" i="104" s="1"/>
  <c r="N23" i="104" s="1"/>
  <c r="L12" i="104"/>
  <c r="J12" i="104"/>
  <c r="BH9" i="104"/>
  <c r="AN129" i="103"/>
  <c r="BB129" i="103" s="1"/>
  <c r="AJ129" i="103"/>
  <c r="AX129" i="103" s="1"/>
  <c r="T129" i="103"/>
  <c r="AL129" i="103" s="1"/>
  <c r="AZ129" i="103" s="1"/>
  <c r="AX128" i="103"/>
  <c r="BD128" i="103" s="1"/>
  <c r="AN128" i="103"/>
  <c r="BB128" i="103" s="1"/>
  <c r="AJ128" i="103"/>
  <c r="X128" i="103"/>
  <c r="T128" i="103"/>
  <c r="AL128" i="103" s="1"/>
  <c r="AZ128" i="103" s="1"/>
  <c r="AZ127" i="103"/>
  <c r="AX127" i="103"/>
  <c r="BD127" i="103" s="1"/>
  <c r="AN127" i="103"/>
  <c r="BB127" i="103" s="1"/>
  <c r="AL127" i="103"/>
  <c r="AJ127" i="103"/>
  <c r="X127" i="103"/>
  <c r="T127" i="103"/>
  <c r="BH126" i="103"/>
  <c r="BB126" i="103"/>
  <c r="AN126" i="103"/>
  <c r="AJ126" i="103"/>
  <c r="AX126" i="103" s="1"/>
  <c r="AX124" i="103" s="1"/>
  <c r="T126" i="103"/>
  <c r="X126" i="103" s="1"/>
  <c r="A126" i="103"/>
  <c r="A127" i="103" s="1"/>
  <c r="BB125" i="103"/>
  <c r="AP125" i="103"/>
  <c r="AN125" i="103"/>
  <c r="AJ125" i="103"/>
  <c r="AX125" i="103" s="1"/>
  <c r="X125" i="103"/>
  <c r="T125" i="103"/>
  <c r="AL125" i="103" s="1"/>
  <c r="A125" i="103"/>
  <c r="BH125" i="103" s="1"/>
  <c r="BH124" i="103"/>
  <c r="AV124" i="103"/>
  <c r="AT124" i="103"/>
  <c r="AR124" i="103"/>
  <c r="AF124" i="103"/>
  <c r="AD124" i="103"/>
  <c r="AB124" i="103"/>
  <c r="V124" i="103"/>
  <c r="T124" i="103"/>
  <c r="R124" i="103"/>
  <c r="N124" i="103"/>
  <c r="L124" i="103"/>
  <c r="J124" i="103"/>
  <c r="H124" i="103"/>
  <c r="AN122" i="103"/>
  <c r="BB122" i="103" s="1"/>
  <c r="AL122" i="103"/>
  <c r="AZ122" i="103" s="1"/>
  <c r="AJ122" i="103"/>
  <c r="AX122" i="103" s="1"/>
  <c r="BB121" i="103"/>
  <c r="AP121" i="103"/>
  <c r="AN121" i="103"/>
  <c r="AL121" i="103"/>
  <c r="AZ121" i="103" s="1"/>
  <c r="AJ121" i="103"/>
  <c r="AX121" i="103" s="1"/>
  <c r="BD121" i="103" s="1"/>
  <c r="X121" i="103"/>
  <c r="AN120" i="103"/>
  <c r="BB120" i="103" s="1"/>
  <c r="AL120" i="103"/>
  <c r="AZ120" i="103" s="1"/>
  <c r="BD120" i="103" s="1"/>
  <c r="AJ120" i="103"/>
  <c r="AX120" i="103" s="1"/>
  <c r="X120" i="103"/>
  <c r="AZ119" i="103"/>
  <c r="AP119" i="103"/>
  <c r="AN119" i="103"/>
  <c r="BB119" i="103" s="1"/>
  <c r="AL119" i="103"/>
  <c r="AJ119" i="103"/>
  <c r="AX119" i="103" s="1"/>
  <c r="BD119" i="103" s="1"/>
  <c r="X119" i="103"/>
  <c r="AN118" i="103"/>
  <c r="BB118" i="103" s="1"/>
  <c r="AL118" i="103"/>
  <c r="AZ118" i="103" s="1"/>
  <c r="BD118" i="103" s="1"/>
  <c r="R118" i="103"/>
  <c r="AJ118" i="103" s="1"/>
  <c r="AX118" i="103" s="1"/>
  <c r="A118" i="103"/>
  <c r="A119" i="103" s="1"/>
  <c r="AZ117" i="103"/>
  <c r="AN117" i="103"/>
  <c r="BB117" i="103" s="1"/>
  <c r="AL117" i="103"/>
  <c r="R117" i="103"/>
  <c r="R116" i="103" s="1"/>
  <c r="R16" i="103" s="1"/>
  <c r="X16" i="103" s="1"/>
  <c r="A117" i="103"/>
  <c r="BH117" i="103" s="1"/>
  <c r="BH116" i="103"/>
  <c r="AV116" i="103"/>
  <c r="AT116" i="103"/>
  <c r="AR116" i="103"/>
  <c r="AN116" i="103"/>
  <c r="AL116" i="103"/>
  <c r="AF116" i="103"/>
  <c r="AD116" i="103"/>
  <c r="AB116" i="103"/>
  <c r="V116" i="103"/>
  <c r="T116" i="103"/>
  <c r="N116" i="103"/>
  <c r="L116" i="103"/>
  <c r="J116" i="103"/>
  <c r="H116" i="103"/>
  <c r="AX113" i="103"/>
  <c r="AN113" i="103"/>
  <c r="BB113" i="103" s="1"/>
  <c r="AL113" i="103"/>
  <c r="AZ113" i="103" s="1"/>
  <c r="AJ113" i="103"/>
  <c r="V113" i="103"/>
  <c r="X113" i="103" s="1"/>
  <c r="AZ112" i="103"/>
  <c r="AL112" i="103"/>
  <c r="AJ112" i="103"/>
  <c r="AX112" i="103" s="1"/>
  <c r="BD112" i="103" s="1"/>
  <c r="V112" i="103"/>
  <c r="AN112" i="103" s="1"/>
  <c r="BB112" i="103" s="1"/>
  <c r="AZ111" i="103"/>
  <c r="AX111" i="103"/>
  <c r="AP111" i="103"/>
  <c r="AN111" i="103"/>
  <c r="BB111" i="103" s="1"/>
  <c r="BD111" i="103" s="1"/>
  <c r="AL111" i="103"/>
  <c r="AJ111" i="103"/>
  <c r="X111" i="103"/>
  <c r="V111" i="103"/>
  <c r="AN110" i="103"/>
  <c r="BB110" i="103" s="1"/>
  <c r="AL110" i="103"/>
  <c r="AZ110" i="103" s="1"/>
  <c r="AJ110" i="103"/>
  <c r="AX110" i="103" s="1"/>
  <c r="BD110" i="103" s="1"/>
  <c r="X110" i="103"/>
  <c r="V110" i="103"/>
  <c r="AZ109" i="103"/>
  <c r="AX109" i="103"/>
  <c r="AL109" i="103"/>
  <c r="AJ109" i="103"/>
  <c r="V109" i="103"/>
  <c r="X109" i="103" s="1"/>
  <c r="AX108" i="103"/>
  <c r="BD108" i="103" s="1"/>
  <c r="AN108" i="103"/>
  <c r="BB108" i="103" s="1"/>
  <c r="AL108" i="103"/>
  <c r="AZ108" i="103" s="1"/>
  <c r="AJ108" i="103"/>
  <c r="V108" i="103"/>
  <c r="X108" i="103" s="1"/>
  <c r="AL107" i="103"/>
  <c r="AZ107" i="103" s="1"/>
  <c r="AJ107" i="103"/>
  <c r="AX107" i="103" s="1"/>
  <c r="X107" i="103"/>
  <c r="V107" i="103"/>
  <c r="AN107" i="103" s="1"/>
  <c r="AZ106" i="103"/>
  <c r="AX106" i="103"/>
  <c r="AL106" i="103"/>
  <c r="AJ106" i="103"/>
  <c r="AP106" i="103" s="1"/>
  <c r="X106" i="103"/>
  <c r="V106" i="103"/>
  <c r="AN106" i="103" s="1"/>
  <c r="BB106" i="103" s="1"/>
  <c r="AN105" i="103"/>
  <c r="BB105" i="103" s="1"/>
  <c r="AL105" i="103"/>
  <c r="AZ105" i="103" s="1"/>
  <c r="AJ105" i="103"/>
  <c r="AX105" i="103" s="1"/>
  <c r="X105" i="103"/>
  <c r="V105" i="103"/>
  <c r="AZ104" i="103"/>
  <c r="AX104" i="103"/>
  <c r="AL104" i="103"/>
  <c r="AJ104" i="103"/>
  <c r="AP104" i="103" s="1"/>
  <c r="X104" i="103"/>
  <c r="V104" i="103"/>
  <c r="AN104" i="103" s="1"/>
  <c r="AN103" i="103"/>
  <c r="BB103" i="103" s="1"/>
  <c r="AL103" i="103"/>
  <c r="AZ103" i="103" s="1"/>
  <c r="AJ103" i="103"/>
  <c r="AX103" i="103" s="1"/>
  <c r="V103" i="103"/>
  <c r="X103" i="103" s="1"/>
  <c r="A103" i="103"/>
  <c r="A104" i="103" s="1"/>
  <c r="BH102" i="103"/>
  <c r="AV102" i="103"/>
  <c r="AT102" i="103"/>
  <c r="AR102" i="103"/>
  <c r="AL102" i="103"/>
  <c r="AF102" i="103"/>
  <c r="AD102" i="103"/>
  <c r="AB102" i="103"/>
  <c r="T102" i="103"/>
  <c r="R102" i="103"/>
  <c r="N102" i="103"/>
  <c r="L102" i="103"/>
  <c r="J102" i="103"/>
  <c r="H102" i="103"/>
  <c r="BB99" i="103"/>
  <c r="AN99" i="103"/>
  <c r="AJ99" i="103"/>
  <c r="AX99" i="103" s="1"/>
  <c r="T99" i="103"/>
  <c r="AL99" i="103" s="1"/>
  <c r="AZ99" i="103" s="1"/>
  <c r="AX98" i="103"/>
  <c r="AN98" i="103"/>
  <c r="BB98" i="103" s="1"/>
  <c r="AJ98" i="103"/>
  <c r="X98" i="103"/>
  <c r="T98" i="103"/>
  <c r="AL98" i="103" s="1"/>
  <c r="AN97" i="103"/>
  <c r="BB97" i="103" s="1"/>
  <c r="AL97" i="103"/>
  <c r="AZ97" i="103" s="1"/>
  <c r="AJ97" i="103"/>
  <c r="AX97" i="103" s="1"/>
  <c r="BD97" i="103" s="1"/>
  <c r="X97" i="103"/>
  <c r="T97" i="103"/>
  <c r="BB96" i="103"/>
  <c r="AZ96" i="103"/>
  <c r="AX96" i="103"/>
  <c r="BD96" i="103" s="1"/>
  <c r="AN96" i="103"/>
  <c r="AL96" i="103"/>
  <c r="AJ96" i="103"/>
  <c r="AP96" i="103" s="1"/>
  <c r="T96" i="103"/>
  <c r="X96" i="103" s="1"/>
  <c r="AX95" i="103"/>
  <c r="AN95" i="103"/>
  <c r="BB95" i="103" s="1"/>
  <c r="AJ95" i="103"/>
  <c r="T95" i="103"/>
  <c r="AL95" i="103" s="1"/>
  <c r="BB94" i="103"/>
  <c r="AN94" i="103"/>
  <c r="AJ94" i="103"/>
  <c r="AX94" i="103" s="1"/>
  <c r="X94" i="103"/>
  <c r="T94" i="103"/>
  <c r="AL94" i="103" s="1"/>
  <c r="BB93" i="103"/>
  <c r="AX93" i="103"/>
  <c r="BD93" i="103" s="1"/>
  <c r="AN93" i="103"/>
  <c r="AJ93" i="103"/>
  <c r="X93" i="103"/>
  <c r="T93" i="103"/>
  <c r="AL93" i="103" s="1"/>
  <c r="AZ93" i="103" s="1"/>
  <c r="AN92" i="103"/>
  <c r="BB92" i="103" s="1"/>
  <c r="AL92" i="103"/>
  <c r="AZ92" i="103" s="1"/>
  <c r="AJ92" i="103"/>
  <c r="AX92" i="103" s="1"/>
  <c r="BD92" i="103" s="1"/>
  <c r="T92" i="103"/>
  <c r="X92" i="103" s="1"/>
  <c r="BB91" i="103"/>
  <c r="AN91" i="103"/>
  <c r="AJ91" i="103"/>
  <c r="AX91" i="103" s="1"/>
  <c r="T91" i="103"/>
  <c r="AL91" i="103" s="1"/>
  <c r="AZ91" i="103" s="1"/>
  <c r="AX90" i="103"/>
  <c r="AN90" i="103"/>
  <c r="BB90" i="103" s="1"/>
  <c r="AJ90" i="103"/>
  <c r="X90" i="103"/>
  <c r="T90" i="103"/>
  <c r="AL90" i="103" s="1"/>
  <c r="AN89" i="103"/>
  <c r="BB89" i="103" s="1"/>
  <c r="AL89" i="103"/>
  <c r="AZ89" i="103" s="1"/>
  <c r="AJ89" i="103"/>
  <c r="AX89" i="103" s="1"/>
  <c r="BD89" i="103" s="1"/>
  <c r="X89" i="103"/>
  <c r="T89" i="103"/>
  <c r="BB88" i="103"/>
  <c r="AZ88" i="103"/>
  <c r="AX88" i="103"/>
  <c r="BD88" i="103" s="1"/>
  <c r="AN88" i="103"/>
  <c r="AL88" i="103"/>
  <c r="AJ88" i="103"/>
  <c r="AP88" i="103" s="1"/>
  <c r="X88" i="103"/>
  <c r="T88" i="103"/>
  <c r="AX87" i="103"/>
  <c r="AN87" i="103"/>
  <c r="BB87" i="103" s="1"/>
  <c r="AJ87" i="103"/>
  <c r="T87" i="103"/>
  <c r="AL87" i="103" s="1"/>
  <c r="BB86" i="103"/>
  <c r="AN86" i="103"/>
  <c r="AJ86" i="103"/>
  <c r="AX86" i="103" s="1"/>
  <c r="X86" i="103"/>
  <c r="T86" i="103"/>
  <c r="AL86" i="103" s="1"/>
  <c r="BB85" i="103"/>
  <c r="AX85" i="103"/>
  <c r="BD85" i="103" s="1"/>
  <c r="AN85" i="103"/>
  <c r="AJ85" i="103"/>
  <c r="AP85" i="103" s="1"/>
  <c r="X85" i="103"/>
  <c r="T85" i="103"/>
  <c r="AL85" i="103" s="1"/>
  <c r="AZ85" i="103" s="1"/>
  <c r="AN84" i="103"/>
  <c r="BB84" i="103" s="1"/>
  <c r="AL84" i="103"/>
  <c r="AZ84" i="103" s="1"/>
  <c r="AJ84" i="103"/>
  <c r="AX84" i="103" s="1"/>
  <c r="BD84" i="103" s="1"/>
  <c r="T84" i="103"/>
  <c r="X84" i="103" s="1"/>
  <c r="BB83" i="103"/>
  <c r="AN83" i="103"/>
  <c r="AJ83" i="103"/>
  <c r="AX83" i="103" s="1"/>
  <c r="BD83" i="103" s="1"/>
  <c r="T83" i="103"/>
  <c r="AL83" i="103" s="1"/>
  <c r="AZ83" i="103" s="1"/>
  <c r="AX82" i="103"/>
  <c r="AN82" i="103"/>
  <c r="BB82" i="103" s="1"/>
  <c r="AJ82" i="103"/>
  <c r="X82" i="103"/>
  <c r="T82" i="103"/>
  <c r="AL82" i="103" s="1"/>
  <c r="AN81" i="103"/>
  <c r="BB81" i="103" s="1"/>
  <c r="AL81" i="103"/>
  <c r="AZ81" i="103" s="1"/>
  <c r="AJ81" i="103"/>
  <c r="AX81" i="103" s="1"/>
  <c r="X81" i="103"/>
  <c r="T81" i="103"/>
  <c r="BB80" i="103"/>
  <c r="AZ80" i="103"/>
  <c r="AX80" i="103"/>
  <c r="BD80" i="103" s="1"/>
  <c r="AN80" i="103"/>
  <c r="AL80" i="103"/>
  <c r="AJ80" i="103"/>
  <c r="AP80" i="103" s="1"/>
  <c r="X80" i="103"/>
  <c r="T80" i="103"/>
  <c r="AX79" i="103"/>
  <c r="AN79" i="103"/>
  <c r="BB79" i="103" s="1"/>
  <c r="AJ79" i="103"/>
  <c r="T79" i="103"/>
  <c r="AL79" i="103" s="1"/>
  <c r="BB78" i="103"/>
  <c r="AN78" i="103"/>
  <c r="AJ78" i="103"/>
  <c r="AX78" i="103" s="1"/>
  <c r="X78" i="103"/>
  <c r="T78" i="103"/>
  <c r="AL78" i="103" s="1"/>
  <c r="BB77" i="103"/>
  <c r="AX77" i="103"/>
  <c r="BD77" i="103" s="1"/>
  <c r="AN77" i="103"/>
  <c r="AJ77" i="103"/>
  <c r="AP77" i="103" s="1"/>
  <c r="X77" i="103"/>
  <c r="T77" i="103"/>
  <c r="AL77" i="103" s="1"/>
  <c r="AZ77" i="103" s="1"/>
  <c r="AN76" i="103"/>
  <c r="BB76" i="103" s="1"/>
  <c r="AL76" i="103"/>
  <c r="AZ76" i="103" s="1"/>
  <c r="AJ76" i="103"/>
  <c r="AX76" i="103" s="1"/>
  <c r="T76" i="103"/>
  <c r="X76" i="103" s="1"/>
  <c r="BB75" i="103"/>
  <c r="AN75" i="103"/>
  <c r="AJ75" i="103"/>
  <c r="AX75" i="103" s="1"/>
  <c r="BD75" i="103" s="1"/>
  <c r="T75" i="103"/>
  <c r="AL75" i="103" s="1"/>
  <c r="AZ75" i="103" s="1"/>
  <c r="AX74" i="103"/>
  <c r="AN74" i="103"/>
  <c r="BB74" i="103" s="1"/>
  <c r="AJ74" i="103"/>
  <c r="X74" i="103"/>
  <c r="T74" i="103"/>
  <c r="AL74" i="103" s="1"/>
  <c r="AN73" i="103"/>
  <c r="BB73" i="103" s="1"/>
  <c r="AL73" i="103"/>
  <c r="AZ73" i="103" s="1"/>
  <c r="AJ73" i="103"/>
  <c r="AX73" i="103" s="1"/>
  <c r="X73" i="103"/>
  <c r="T73" i="103"/>
  <c r="AZ72" i="103"/>
  <c r="AX72" i="103"/>
  <c r="AN72" i="103"/>
  <c r="BB72" i="103" s="1"/>
  <c r="AL72" i="103"/>
  <c r="AJ72" i="103"/>
  <c r="AP72" i="103" s="1"/>
  <c r="X72" i="103"/>
  <c r="T72" i="103"/>
  <c r="AX71" i="103"/>
  <c r="AN71" i="103"/>
  <c r="BB71" i="103" s="1"/>
  <c r="AJ71" i="103"/>
  <c r="T71" i="103"/>
  <c r="AL71" i="103" s="1"/>
  <c r="BB70" i="103"/>
  <c r="AN70" i="103"/>
  <c r="AJ70" i="103"/>
  <c r="AX70" i="103" s="1"/>
  <c r="X70" i="103"/>
  <c r="T70" i="103"/>
  <c r="AL70" i="103" s="1"/>
  <c r="BB69" i="103"/>
  <c r="AX69" i="103"/>
  <c r="BD69" i="103" s="1"/>
  <c r="AN69" i="103"/>
  <c r="AJ69" i="103"/>
  <c r="AP69" i="103" s="1"/>
  <c r="X69" i="103"/>
  <c r="T69" i="103"/>
  <c r="AL69" i="103" s="1"/>
  <c r="AZ69" i="103" s="1"/>
  <c r="AN68" i="103"/>
  <c r="BB68" i="103" s="1"/>
  <c r="AL68" i="103"/>
  <c r="AZ68" i="103" s="1"/>
  <c r="AJ68" i="103"/>
  <c r="AX68" i="103" s="1"/>
  <c r="X68" i="103"/>
  <c r="T68" i="103"/>
  <c r="BB67" i="103"/>
  <c r="AN67" i="103"/>
  <c r="AJ67" i="103"/>
  <c r="AX67" i="103" s="1"/>
  <c r="T67" i="103"/>
  <c r="AL67" i="103" s="1"/>
  <c r="AZ67" i="103" s="1"/>
  <c r="AN66" i="103"/>
  <c r="BB66" i="103" s="1"/>
  <c r="AJ66" i="103"/>
  <c r="AX66" i="103" s="1"/>
  <c r="X66" i="103"/>
  <c r="T66" i="103"/>
  <c r="AL66" i="103" s="1"/>
  <c r="AN65" i="103"/>
  <c r="BB65" i="103" s="1"/>
  <c r="AJ65" i="103"/>
  <c r="AX65" i="103" s="1"/>
  <c r="X65" i="103"/>
  <c r="T65" i="103"/>
  <c r="AL65" i="103" s="1"/>
  <c r="AZ65" i="103" s="1"/>
  <c r="AZ64" i="103"/>
  <c r="AX64" i="103"/>
  <c r="AN64" i="103"/>
  <c r="BB64" i="103" s="1"/>
  <c r="AL64" i="103"/>
  <c r="AJ64" i="103"/>
  <c r="AP64" i="103" s="1"/>
  <c r="X64" i="103"/>
  <c r="T64" i="103"/>
  <c r="AX63" i="103"/>
  <c r="BD63" i="103" s="1"/>
  <c r="AN63" i="103"/>
  <c r="BB63" i="103" s="1"/>
  <c r="AJ63" i="103"/>
  <c r="T63" i="103"/>
  <c r="AL63" i="103" s="1"/>
  <c r="AZ63" i="103" s="1"/>
  <c r="BB62" i="103"/>
  <c r="AN62" i="103"/>
  <c r="AJ62" i="103"/>
  <c r="AX62" i="103" s="1"/>
  <c r="X62" i="103"/>
  <c r="T62" i="103"/>
  <c r="AL62" i="103" s="1"/>
  <c r="BB61" i="103"/>
  <c r="AX61" i="103"/>
  <c r="AN61" i="103"/>
  <c r="AJ61" i="103"/>
  <c r="X61" i="103"/>
  <c r="T61" i="103"/>
  <c r="AL61" i="103" s="1"/>
  <c r="AZ61" i="103" s="1"/>
  <c r="AN60" i="103"/>
  <c r="BB60" i="103" s="1"/>
  <c r="AL60" i="103"/>
  <c r="AZ60" i="103" s="1"/>
  <c r="AJ60" i="103"/>
  <c r="X60" i="103"/>
  <c r="T60" i="103"/>
  <c r="AN59" i="103"/>
  <c r="BB59" i="103" s="1"/>
  <c r="AJ59" i="103"/>
  <c r="AX59" i="103" s="1"/>
  <c r="T59" i="103"/>
  <c r="AP58" i="103"/>
  <c r="AN58" i="103"/>
  <c r="BB58" i="103" s="1"/>
  <c r="AJ58" i="103"/>
  <c r="AX58" i="103" s="1"/>
  <c r="X58" i="103"/>
  <c r="T58" i="103"/>
  <c r="AL58" i="103" s="1"/>
  <c r="AZ58" i="103" s="1"/>
  <c r="BD58" i="103" s="1"/>
  <c r="BF58" i="103" s="1"/>
  <c r="AX57" i="103"/>
  <c r="BD57" i="103" s="1"/>
  <c r="BF57" i="103" s="1"/>
  <c r="AN57" i="103"/>
  <c r="BB57" i="103" s="1"/>
  <c r="AJ57" i="103"/>
  <c r="X57" i="103"/>
  <c r="T57" i="103"/>
  <c r="AL57" i="103" s="1"/>
  <c r="AZ57" i="103" s="1"/>
  <c r="AX56" i="103"/>
  <c r="AN56" i="103"/>
  <c r="BB56" i="103" s="1"/>
  <c r="AL56" i="103"/>
  <c r="AZ56" i="103" s="1"/>
  <c r="AJ56" i="103"/>
  <c r="X56" i="103"/>
  <c r="T56" i="103"/>
  <c r="AX55" i="103"/>
  <c r="AN55" i="103"/>
  <c r="BB55" i="103" s="1"/>
  <c r="AJ55" i="103"/>
  <c r="T55" i="103"/>
  <c r="X55" i="103" s="1"/>
  <c r="AN54" i="103"/>
  <c r="BB54" i="103" s="1"/>
  <c r="AJ54" i="103"/>
  <c r="AX54" i="103" s="1"/>
  <c r="BD54" i="103" s="1"/>
  <c r="BF54" i="103" s="1"/>
  <c r="T54" i="103"/>
  <c r="AL54" i="103" s="1"/>
  <c r="AZ54" i="103" s="1"/>
  <c r="BB53" i="103"/>
  <c r="AX53" i="103"/>
  <c r="BD53" i="103" s="1"/>
  <c r="BF53" i="103" s="1"/>
  <c r="AP53" i="103"/>
  <c r="AN53" i="103"/>
  <c r="AJ53" i="103"/>
  <c r="X53" i="103"/>
  <c r="T53" i="103"/>
  <c r="AL53" i="103" s="1"/>
  <c r="AZ53" i="103" s="1"/>
  <c r="AZ52" i="103"/>
  <c r="AX52" i="103"/>
  <c r="BD52" i="103" s="1"/>
  <c r="BF52" i="103" s="1"/>
  <c r="AN52" i="103"/>
  <c r="BB52" i="103" s="1"/>
  <c r="AL52" i="103"/>
  <c r="AJ52" i="103"/>
  <c r="AP52" i="103" s="1"/>
  <c r="X52" i="103"/>
  <c r="T52" i="103"/>
  <c r="BB51" i="103"/>
  <c r="AN51" i="103"/>
  <c r="AL51" i="103"/>
  <c r="AZ51" i="103" s="1"/>
  <c r="AJ51" i="103"/>
  <c r="AX51" i="103" s="1"/>
  <c r="T51" i="103"/>
  <c r="X51" i="103" s="1"/>
  <c r="BB50" i="103"/>
  <c r="AN50" i="103"/>
  <c r="AP50" i="103" s="1"/>
  <c r="AJ50" i="103"/>
  <c r="AX50" i="103" s="1"/>
  <c r="BD50" i="103" s="1"/>
  <c r="BF50" i="103" s="1"/>
  <c r="X50" i="103"/>
  <c r="T50" i="103"/>
  <c r="AL50" i="103" s="1"/>
  <c r="AZ50" i="103" s="1"/>
  <c r="AX49" i="103"/>
  <c r="BD49" i="103" s="1"/>
  <c r="BF49" i="103" s="1"/>
  <c r="AN49" i="103"/>
  <c r="BB49" i="103" s="1"/>
  <c r="AJ49" i="103"/>
  <c r="AP49" i="103" s="1"/>
  <c r="X49" i="103"/>
  <c r="T49" i="103"/>
  <c r="AL49" i="103" s="1"/>
  <c r="AZ49" i="103" s="1"/>
  <c r="AZ48" i="103"/>
  <c r="AN48" i="103"/>
  <c r="BB48" i="103" s="1"/>
  <c r="AL48" i="103"/>
  <c r="AJ48" i="103"/>
  <c r="AP48" i="103" s="1"/>
  <c r="X48" i="103"/>
  <c r="T48" i="103"/>
  <c r="AX47" i="103"/>
  <c r="AN47" i="103"/>
  <c r="BB47" i="103" s="1"/>
  <c r="AJ47" i="103"/>
  <c r="T47" i="103"/>
  <c r="X47" i="103" s="1"/>
  <c r="AN46" i="103"/>
  <c r="AN42" i="103" s="1"/>
  <c r="AN14" i="103" s="1"/>
  <c r="AJ46" i="103"/>
  <c r="AX46" i="103" s="1"/>
  <c r="T46" i="103"/>
  <c r="AL46" i="103" s="1"/>
  <c r="AZ46" i="103" s="1"/>
  <c r="BB45" i="103"/>
  <c r="AX45" i="103"/>
  <c r="BD45" i="103" s="1"/>
  <c r="BF45" i="103" s="1"/>
  <c r="AN45" i="103"/>
  <c r="AJ45" i="103"/>
  <c r="X45" i="103"/>
  <c r="T45" i="103"/>
  <c r="AL45" i="103" s="1"/>
  <c r="AZ45" i="103" s="1"/>
  <c r="AZ44" i="103"/>
  <c r="AX44" i="103"/>
  <c r="BD44" i="103" s="1"/>
  <c r="BF44" i="103" s="1"/>
  <c r="AN44" i="103"/>
  <c r="BB44" i="103" s="1"/>
  <c r="AL44" i="103"/>
  <c r="AJ44" i="103"/>
  <c r="X44" i="103"/>
  <c r="T44" i="103"/>
  <c r="BH43" i="103"/>
  <c r="BB43" i="103"/>
  <c r="AN43" i="103"/>
  <c r="AL43" i="103"/>
  <c r="AZ43" i="103" s="1"/>
  <c r="AJ43" i="103"/>
  <c r="AX43" i="103" s="1"/>
  <c r="T43" i="103"/>
  <c r="X43" i="103" s="1"/>
  <c r="A43" i="103"/>
  <c r="A44" i="103" s="1"/>
  <c r="BH42" i="103"/>
  <c r="AV42" i="103"/>
  <c r="AT42" i="103"/>
  <c r="AR42" i="103"/>
  <c r="AF42" i="103"/>
  <c r="AD42" i="103"/>
  <c r="AD14" i="103" s="1"/>
  <c r="AB42" i="103"/>
  <c r="V42" i="103"/>
  <c r="T42" i="103"/>
  <c r="R42" i="103"/>
  <c r="N42" i="103"/>
  <c r="L42" i="103"/>
  <c r="J42" i="103"/>
  <c r="H42" i="103"/>
  <c r="AZ39" i="103"/>
  <c r="AN39" i="103"/>
  <c r="BB39" i="103" s="1"/>
  <c r="AL39" i="103"/>
  <c r="R39" i="103"/>
  <c r="AJ39" i="103" s="1"/>
  <c r="AX39" i="103" s="1"/>
  <c r="BD39" i="103" s="1"/>
  <c r="BF39" i="103" s="1"/>
  <c r="AP38" i="103"/>
  <c r="AN38" i="103"/>
  <c r="BB38" i="103" s="1"/>
  <c r="AL38" i="103"/>
  <c r="AZ38" i="103" s="1"/>
  <c r="AJ38" i="103"/>
  <c r="AX38" i="103" s="1"/>
  <c r="BD38" i="103" s="1"/>
  <c r="BF38" i="103" s="1"/>
  <c r="X38" i="103"/>
  <c r="R38" i="103"/>
  <c r="BB37" i="103"/>
  <c r="AN37" i="103"/>
  <c r="AL37" i="103"/>
  <c r="AZ37" i="103" s="1"/>
  <c r="R37" i="103"/>
  <c r="AJ37" i="103" s="1"/>
  <c r="BB36" i="103"/>
  <c r="AN36" i="103"/>
  <c r="AL36" i="103"/>
  <c r="AZ36" i="103" s="1"/>
  <c r="R36" i="103"/>
  <c r="AN35" i="103"/>
  <c r="BB35" i="103" s="1"/>
  <c r="BB34" i="103" s="1"/>
  <c r="BB13" i="103" s="1"/>
  <c r="AL35" i="103"/>
  <c r="AZ35" i="103" s="1"/>
  <c r="AZ34" i="103" s="1"/>
  <c r="AZ13" i="103" s="1"/>
  <c r="R35" i="103"/>
  <c r="AJ35" i="103" s="1"/>
  <c r="A35" i="103"/>
  <c r="A36" i="103" s="1"/>
  <c r="BH34" i="103"/>
  <c r="AV34" i="103"/>
  <c r="AT34" i="103"/>
  <c r="AT13" i="103" s="1"/>
  <c r="AR34" i="103"/>
  <c r="AN34" i="103"/>
  <c r="AL34" i="103"/>
  <c r="AL13" i="103" s="1"/>
  <c r="AF34" i="103"/>
  <c r="AD34" i="103"/>
  <c r="AB34" i="103"/>
  <c r="AB13" i="103" s="1"/>
  <c r="V34" i="103"/>
  <c r="T34" i="103"/>
  <c r="R34" i="103"/>
  <c r="R13" i="103" s="1"/>
  <c r="X13" i="103" s="1"/>
  <c r="N34" i="103"/>
  <c r="L34" i="103"/>
  <c r="J34" i="103"/>
  <c r="H34" i="103"/>
  <c r="H13" i="103" s="1"/>
  <c r="AZ31" i="103"/>
  <c r="AX31" i="103"/>
  <c r="AN31" i="103"/>
  <c r="AP31" i="103" s="1"/>
  <c r="AL31" i="103"/>
  <c r="AJ31" i="103"/>
  <c r="X31" i="103"/>
  <c r="AN30" i="103"/>
  <c r="BB30" i="103" s="1"/>
  <c r="AL30" i="103"/>
  <c r="AZ30" i="103" s="1"/>
  <c r="AJ30" i="103"/>
  <c r="AX30" i="103" s="1"/>
  <c r="BD30" i="103" s="1"/>
  <c r="BF30" i="103" s="1"/>
  <c r="X30" i="103"/>
  <c r="AZ29" i="103"/>
  <c r="AN29" i="103"/>
  <c r="BB29" i="103" s="1"/>
  <c r="AL29" i="103"/>
  <c r="R29" i="103"/>
  <c r="AJ29" i="103" s="1"/>
  <c r="AX28" i="103"/>
  <c r="AP28" i="103"/>
  <c r="AN28" i="103"/>
  <c r="BB28" i="103" s="1"/>
  <c r="AL28" i="103"/>
  <c r="AZ28" i="103" s="1"/>
  <c r="AJ28" i="103"/>
  <c r="X28" i="103"/>
  <c r="R28" i="103"/>
  <c r="BH27" i="103"/>
  <c r="BB27" i="103"/>
  <c r="AX27" i="103"/>
  <c r="AN27" i="103"/>
  <c r="AL27" i="103"/>
  <c r="AZ27" i="103" s="1"/>
  <c r="AZ26" i="103" s="1"/>
  <c r="AZ12" i="103" s="1"/>
  <c r="AJ27" i="103"/>
  <c r="AP27" i="103" s="1"/>
  <c r="X27" i="103"/>
  <c r="R27" i="103"/>
  <c r="A27" i="103"/>
  <c r="A28" i="103" s="1"/>
  <c r="BH26" i="103"/>
  <c r="AV26" i="103"/>
  <c r="AT26" i="103"/>
  <c r="AT12" i="103" s="1"/>
  <c r="AT17" i="103" s="1"/>
  <c r="AT23" i="103" s="1"/>
  <c r="AR26" i="103"/>
  <c r="AR12" i="103" s="1"/>
  <c r="AR17" i="103" s="1"/>
  <c r="AR23" i="103" s="1"/>
  <c r="AL26" i="103"/>
  <c r="AL12" i="103" s="1"/>
  <c r="AF26" i="103"/>
  <c r="AD26" i="103"/>
  <c r="AB26" i="103"/>
  <c r="AB12" i="103" s="1"/>
  <c r="AB17" i="103" s="1"/>
  <c r="AB23" i="103" s="1"/>
  <c r="V26" i="103"/>
  <c r="T26" i="103"/>
  <c r="N26" i="103"/>
  <c r="N12" i="103" s="1"/>
  <c r="N17" i="103" s="1"/>
  <c r="N23" i="103" s="1"/>
  <c r="L26" i="103"/>
  <c r="J26" i="103"/>
  <c r="H26" i="103"/>
  <c r="H12" i="103" s="1"/>
  <c r="H17" i="103" s="1"/>
  <c r="H23" i="103" s="1"/>
  <c r="BD22" i="103"/>
  <c r="AP22" i="103"/>
  <c r="AN22" i="103"/>
  <c r="R22" i="103"/>
  <c r="X22" i="103" s="1"/>
  <c r="H22" i="103"/>
  <c r="BD21" i="103"/>
  <c r="AP21" i="103"/>
  <c r="AN21" i="103"/>
  <c r="R21" i="103"/>
  <c r="X21" i="103" s="1"/>
  <c r="H21" i="103"/>
  <c r="AX20" i="103"/>
  <c r="AV20" i="103"/>
  <c r="AT20" i="103"/>
  <c r="AR20" i="103"/>
  <c r="AF20" i="103"/>
  <c r="AD20" i="103"/>
  <c r="AB20" i="103"/>
  <c r="V20" i="103"/>
  <c r="X20" i="103" s="1"/>
  <c r="T20" i="103"/>
  <c r="R20" i="103"/>
  <c r="N20" i="103"/>
  <c r="L20" i="103"/>
  <c r="J20" i="103"/>
  <c r="H20" i="103"/>
  <c r="AV16" i="103"/>
  <c r="AT16" i="103"/>
  <c r="AR16" i="103"/>
  <c r="AN16" i="103"/>
  <c r="AL16" i="103"/>
  <c r="AF16" i="103"/>
  <c r="AD16" i="103"/>
  <c r="AB16" i="103"/>
  <c r="V16" i="103"/>
  <c r="T16" i="103"/>
  <c r="N16" i="103"/>
  <c r="L16" i="103"/>
  <c r="J16" i="103"/>
  <c r="H16" i="103"/>
  <c r="AV15" i="103"/>
  <c r="AT15" i="103"/>
  <c r="AR15" i="103"/>
  <c r="AL15" i="103"/>
  <c r="AF15" i="103"/>
  <c r="AD15" i="103"/>
  <c r="AB15" i="103"/>
  <c r="T15" i="103"/>
  <c r="R15" i="103"/>
  <c r="N15" i="103"/>
  <c r="L15" i="103"/>
  <c r="J15" i="103"/>
  <c r="H15" i="103"/>
  <c r="A15" i="103"/>
  <c r="A16" i="103" s="1"/>
  <c r="AV14" i="103"/>
  <c r="AT14" i="103"/>
  <c r="AR14" i="103"/>
  <c r="AF14" i="103"/>
  <c r="AB14" i="103"/>
  <c r="V14" i="103"/>
  <c r="T14" i="103"/>
  <c r="R14" i="103"/>
  <c r="X14" i="103" s="1"/>
  <c r="N14" i="103"/>
  <c r="L14" i="103"/>
  <c r="J14" i="103"/>
  <c r="H14" i="103"/>
  <c r="A14" i="103"/>
  <c r="BH14" i="103" s="1"/>
  <c r="AV13" i="103"/>
  <c r="AV17" i="103" s="1"/>
  <c r="AV23" i="103" s="1"/>
  <c r="AR13" i="103"/>
  <c r="AN13" i="103"/>
  <c r="AF13" i="103"/>
  <c r="AD13" i="103"/>
  <c r="AD17" i="103" s="1"/>
  <c r="AD23" i="103" s="1"/>
  <c r="V13" i="103"/>
  <c r="T13" i="103"/>
  <c r="T17" i="103" s="1"/>
  <c r="T23" i="103" s="1"/>
  <c r="N13" i="103"/>
  <c r="L13" i="103"/>
  <c r="J13" i="103"/>
  <c r="J17" i="103" s="1"/>
  <c r="J23" i="103" s="1"/>
  <c r="A13" i="103"/>
  <c r="BH13" i="103" s="1"/>
  <c r="BH12" i="103"/>
  <c r="AV12" i="103"/>
  <c r="AF12" i="103"/>
  <c r="AF17" i="103" s="1"/>
  <c r="AF23" i="103" s="1"/>
  <c r="AD12" i="103"/>
  <c r="V12" i="103"/>
  <c r="T12" i="103"/>
  <c r="L12" i="103"/>
  <c r="L17" i="103" s="1"/>
  <c r="L23" i="103" s="1"/>
  <c r="J12" i="103"/>
  <c r="BF9" i="103"/>
  <c r="G66" i="83"/>
  <c r="G65" i="83"/>
  <c r="H55" i="83"/>
  <c r="A55" i="83"/>
  <c r="A56" i="83" s="1"/>
  <c r="K56" i="83" s="1"/>
  <c r="K54" i="83"/>
  <c r="A48" i="83"/>
  <c r="K48" i="83" s="1"/>
  <c r="K47" i="83"/>
  <c r="A47" i="83"/>
  <c r="K46" i="83"/>
  <c r="E34" i="83"/>
  <c r="D34" i="83"/>
  <c r="E25" i="83" s="1"/>
  <c r="C34" i="83"/>
  <c r="E26" i="83" s="1"/>
  <c r="K33" i="83"/>
  <c r="E27" i="83"/>
  <c r="A26" i="83"/>
  <c r="K25" i="83"/>
  <c r="K24" i="83"/>
  <c r="A49" i="82"/>
  <c r="F50" i="82" s="1"/>
  <c r="G48" i="82"/>
  <c r="A41" i="82"/>
  <c r="A40" i="82"/>
  <c r="F41" i="82" s="1"/>
  <c r="G39" i="82"/>
  <c r="G34" i="82"/>
  <c r="F34" i="82"/>
  <c r="E34" i="82"/>
  <c r="A34" i="82"/>
  <c r="G32" i="82"/>
  <c r="G25" i="82"/>
  <c r="A25" i="82"/>
  <c r="A24" i="82"/>
  <c r="G24" i="82" s="1"/>
  <c r="G23" i="82"/>
  <c r="E13" i="82"/>
  <c r="D13" i="82"/>
  <c r="A12" i="82"/>
  <c r="G11" i="82"/>
  <c r="G10" i="82"/>
  <c r="G6" i="82"/>
  <c r="A6" i="82"/>
  <c r="G5" i="82"/>
  <c r="G4" i="82"/>
  <c r="C20" i="81"/>
  <c r="C17" i="81"/>
  <c r="C13" i="81"/>
  <c r="F11" i="81"/>
  <c r="A8" i="81"/>
  <c r="C7" i="81"/>
  <c r="A7" i="81"/>
  <c r="F7" i="81" s="1"/>
  <c r="F6" i="81"/>
  <c r="F5" i="81"/>
  <c r="B174" i="80"/>
  <c r="B175" i="80" s="1"/>
  <c r="B176" i="80" s="1"/>
  <c r="B177" i="80" s="1"/>
  <c r="B178" i="80" s="1"/>
  <c r="B179" i="80" s="1"/>
  <c r="B180" i="80" s="1"/>
  <c r="B181" i="80" s="1"/>
  <c r="B182" i="80" s="1"/>
  <c r="B183" i="80" s="1"/>
  <c r="B170" i="80"/>
  <c r="B171" i="80" s="1"/>
  <c r="B172" i="80" s="1"/>
  <c r="B173" i="80" s="1"/>
  <c r="B169" i="80"/>
  <c r="N167" i="80"/>
  <c r="I160" i="80"/>
  <c r="B160" i="80"/>
  <c r="I159" i="80"/>
  <c r="B159" i="80"/>
  <c r="I158" i="80"/>
  <c r="B158" i="80"/>
  <c r="I157" i="80"/>
  <c r="B157" i="80"/>
  <c r="I156" i="80"/>
  <c r="B156" i="80"/>
  <c r="I155" i="80"/>
  <c r="B155" i="80"/>
  <c r="I154" i="80"/>
  <c r="B154" i="80"/>
  <c r="I153" i="80"/>
  <c r="B153" i="80"/>
  <c r="I152" i="80"/>
  <c r="B152" i="80"/>
  <c r="I151" i="80"/>
  <c r="B151" i="80"/>
  <c r="I150" i="80"/>
  <c r="B150" i="80"/>
  <c r="I149" i="80"/>
  <c r="B149" i="80"/>
  <c r="K146" i="80"/>
  <c r="I143" i="80"/>
  <c r="I142" i="80"/>
  <c r="I141" i="80"/>
  <c r="I140" i="80"/>
  <c r="I139" i="80"/>
  <c r="I138" i="80"/>
  <c r="I137" i="80"/>
  <c r="I136" i="80"/>
  <c r="I135" i="80"/>
  <c r="I134" i="80"/>
  <c r="I133" i="80"/>
  <c r="A133" i="80"/>
  <c r="A134" i="80" s="1"/>
  <c r="N132" i="80"/>
  <c r="I132" i="80"/>
  <c r="B132" i="80"/>
  <c r="B133" i="80" s="1"/>
  <c r="B134" i="80" s="1"/>
  <c r="B135" i="80" s="1"/>
  <c r="B136" i="80" s="1"/>
  <c r="B137" i="80" s="1"/>
  <c r="B138" i="80" s="1"/>
  <c r="B139" i="80" s="1"/>
  <c r="B140" i="80" s="1"/>
  <c r="B141" i="80" s="1"/>
  <c r="B142" i="80" s="1"/>
  <c r="B143" i="80" s="1"/>
  <c r="G128" i="80"/>
  <c r="F128" i="80"/>
  <c r="G121" i="80"/>
  <c r="G120" i="80"/>
  <c r="G119" i="80"/>
  <c r="G118" i="80" s="1"/>
  <c r="A111" i="80"/>
  <c r="A112" i="80" s="1"/>
  <c r="N110" i="80"/>
  <c r="H110" i="80"/>
  <c r="E110" i="80"/>
  <c r="N109" i="80"/>
  <c r="I97" i="80"/>
  <c r="H97" i="80"/>
  <c r="G97" i="80"/>
  <c r="F97" i="80"/>
  <c r="E97" i="80"/>
  <c r="D97" i="80"/>
  <c r="D95" i="80"/>
  <c r="A95" i="80"/>
  <c r="A97" i="80" s="1"/>
  <c r="N94" i="80"/>
  <c r="D94" i="80"/>
  <c r="A94" i="80"/>
  <c r="N93" i="80"/>
  <c r="D93" i="80"/>
  <c r="N91" i="80"/>
  <c r="I81" i="80"/>
  <c r="H81" i="80"/>
  <c r="G81" i="80"/>
  <c r="F81" i="80"/>
  <c r="F83" i="80" s="1"/>
  <c r="E81" i="80"/>
  <c r="D78" i="80"/>
  <c r="D77" i="80"/>
  <c r="A77" i="80"/>
  <c r="A78" i="80" s="1"/>
  <c r="N76" i="80"/>
  <c r="D76" i="80"/>
  <c r="D81" i="80" s="1"/>
  <c r="N74" i="80"/>
  <c r="D69" i="80"/>
  <c r="I62" i="80"/>
  <c r="H62" i="80"/>
  <c r="G62" i="80"/>
  <c r="F62" i="80"/>
  <c r="E62" i="80"/>
  <c r="D60" i="80"/>
  <c r="D59" i="80"/>
  <c r="D58" i="80"/>
  <c r="D57" i="80"/>
  <c r="D56" i="80"/>
  <c r="D55" i="80"/>
  <c r="A55" i="80"/>
  <c r="A56" i="80" s="1"/>
  <c r="N54" i="80"/>
  <c r="D54" i="80"/>
  <c r="D62" i="80" s="1"/>
  <c r="N53" i="80"/>
  <c r="I43" i="80"/>
  <c r="H43" i="80"/>
  <c r="G43" i="80"/>
  <c r="F43" i="80"/>
  <c r="F45" i="80" s="1"/>
  <c r="E41" i="80"/>
  <c r="D41" i="80" s="1"/>
  <c r="D40" i="80"/>
  <c r="D39" i="80"/>
  <c r="F38" i="80"/>
  <c r="E38" i="80"/>
  <c r="E43" i="80" s="1"/>
  <c r="D37" i="80"/>
  <c r="D36" i="80"/>
  <c r="D35" i="80"/>
  <c r="D34" i="80"/>
  <c r="D33" i="80"/>
  <c r="A33" i="80"/>
  <c r="A34" i="80" s="1"/>
  <c r="N32" i="80"/>
  <c r="D32" i="80"/>
  <c r="N30" i="80"/>
  <c r="N11" i="80"/>
  <c r="A11" i="80"/>
  <c r="A12" i="80" s="1"/>
  <c r="N10" i="80"/>
  <c r="A10" i="80"/>
  <c r="N9" i="80"/>
  <c r="N8" i="80"/>
  <c r="I59" i="79"/>
  <c r="H59" i="79"/>
  <c r="G59" i="79"/>
  <c r="F59" i="79"/>
  <c r="E59" i="79"/>
  <c r="D59" i="79"/>
  <c r="I56" i="79"/>
  <c r="H56" i="79"/>
  <c r="G56" i="79"/>
  <c r="F56" i="79"/>
  <c r="E56" i="79"/>
  <c r="D56" i="79"/>
  <c r="F49" i="79"/>
  <c r="F48" i="79"/>
  <c r="F47" i="79"/>
  <c r="F46" i="79"/>
  <c r="F45" i="79"/>
  <c r="F44" i="79"/>
  <c r="F43" i="79"/>
  <c r="F42" i="79"/>
  <c r="F41" i="79"/>
  <c r="F40" i="79"/>
  <c r="F39" i="79"/>
  <c r="A39" i="79"/>
  <c r="A40" i="79" s="1"/>
  <c r="F38" i="79"/>
  <c r="A38" i="79"/>
  <c r="J38" i="79" s="1"/>
  <c r="J37" i="79"/>
  <c r="F37" i="79"/>
  <c r="J36" i="79"/>
  <c r="E26" i="79"/>
  <c r="D26" i="79"/>
  <c r="J14" i="79"/>
  <c r="A14" i="79"/>
  <c r="A15" i="79" s="1"/>
  <c r="J13" i="79"/>
  <c r="J12" i="79"/>
  <c r="Q30" i="78"/>
  <c r="A30" i="78"/>
  <c r="A31" i="78" s="1"/>
  <c r="A29" i="78"/>
  <c r="Q29" i="78" s="1"/>
  <c r="Q28" i="78"/>
  <c r="Q27" i="78"/>
  <c r="D19" i="78"/>
  <c r="B19" i="78"/>
  <c r="D18" i="78"/>
  <c r="B18" i="78"/>
  <c r="D17" i="78"/>
  <c r="B17" i="78"/>
  <c r="D16" i="78"/>
  <c r="B16" i="78"/>
  <c r="D15" i="78"/>
  <c r="B15" i="78"/>
  <c r="D14" i="78"/>
  <c r="B14" i="78"/>
  <c r="Q13" i="78"/>
  <c r="D13" i="78"/>
  <c r="B13" i="78"/>
  <c r="A13" i="78"/>
  <c r="A14" i="78" s="1"/>
  <c r="D12" i="78"/>
  <c r="M98" i="77" s="1"/>
  <c r="B12" i="78"/>
  <c r="A12" i="78"/>
  <c r="Q12" i="78" s="1"/>
  <c r="D11" i="78"/>
  <c r="B11" i="78"/>
  <c r="A11" i="78"/>
  <c r="Q11" i="78" s="1"/>
  <c r="Q10" i="78"/>
  <c r="D10" i="78"/>
  <c r="B10" i="78"/>
  <c r="Q9" i="78"/>
  <c r="P1" i="78"/>
  <c r="A131" i="77"/>
  <c r="Q131" i="77" s="1"/>
  <c r="Q130" i="77"/>
  <c r="A130" i="77"/>
  <c r="Q129" i="77"/>
  <c r="Q128" i="77"/>
  <c r="A111" i="77"/>
  <c r="Q111" i="77" s="1"/>
  <c r="Q110" i="77"/>
  <c r="Q108" i="77"/>
  <c r="N98" i="77"/>
  <c r="G98" i="77"/>
  <c r="F98" i="77"/>
  <c r="E98" i="77"/>
  <c r="Q97" i="77"/>
  <c r="Q77" i="77"/>
  <c r="A77" i="77"/>
  <c r="A78" i="77" s="1"/>
  <c r="Q76" i="77"/>
  <c r="Q75" i="77"/>
  <c r="Q61" i="77"/>
  <c r="Q60" i="77"/>
  <c r="Q51" i="77"/>
  <c r="Q50" i="77"/>
  <c r="Q38" i="77"/>
  <c r="Q37" i="77"/>
  <c r="Q25" i="77"/>
  <c r="C25" i="77"/>
  <c r="Q24" i="77"/>
  <c r="N15" i="77"/>
  <c r="M15" i="77"/>
  <c r="L15" i="77"/>
  <c r="K15" i="77"/>
  <c r="J15" i="77"/>
  <c r="I15" i="77"/>
  <c r="H15" i="77"/>
  <c r="G15" i="77"/>
  <c r="F15" i="77"/>
  <c r="E15" i="77"/>
  <c r="D15" i="77"/>
  <c r="O15" i="77" s="1"/>
  <c r="F130" i="77" s="1"/>
  <c r="C15" i="77"/>
  <c r="O14" i="77"/>
  <c r="A14" i="77"/>
  <c r="A15" i="77" s="1"/>
  <c r="Q15" i="77" s="1"/>
  <c r="Q13" i="77"/>
  <c r="O13" i="77"/>
  <c r="Q12" i="77"/>
  <c r="A128" i="76"/>
  <c r="A129" i="76" s="1"/>
  <c r="R129" i="76" s="1"/>
  <c r="R127" i="76"/>
  <c r="R126" i="76"/>
  <c r="D117" i="76"/>
  <c r="A117" i="76"/>
  <c r="R117" i="76" s="1"/>
  <c r="R116" i="76"/>
  <c r="A116" i="76"/>
  <c r="R115" i="76"/>
  <c r="R114" i="76"/>
  <c r="D103" i="76"/>
  <c r="A103" i="76"/>
  <c r="R103" i="76" s="1"/>
  <c r="R102" i="76"/>
  <c r="A102" i="76"/>
  <c r="R101" i="76"/>
  <c r="R100" i="76"/>
  <c r="F89" i="76"/>
  <c r="E89" i="76"/>
  <c r="D89" i="76"/>
  <c r="R88" i="76"/>
  <c r="D88" i="76"/>
  <c r="A88" i="76"/>
  <c r="A89" i="76" s="1"/>
  <c r="R89" i="76" s="1"/>
  <c r="R87" i="76"/>
  <c r="D87" i="76"/>
  <c r="R86" i="76"/>
  <c r="O77" i="76"/>
  <c r="N77" i="76"/>
  <c r="M77" i="76"/>
  <c r="L77" i="76"/>
  <c r="K77" i="76"/>
  <c r="J77" i="76"/>
  <c r="I77" i="76"/>
  <c r="H77" i="76"/>
  <c r="G77" i="76"/>
  <c r="F77" i="76"/>
  <c r="E77" i="76"/>
  <c r="D77" i="76"/>
  <c r="P76" i="76"/>
  <c r="E23" i="92" s="1"/>
  <c r="P75" i="76"/>
  <c r="P74" i="76"/>
  <c r="P73" i="76"/>
  <c r="P72" i="76"/>
  <c r="P71" i="76"/>
  <c r="P70" i="76"/>
  <c r="P69" i="76"/>
  <c r="P68" i="76"/>
  <c r="P67" i="76"/>
  <c r="P66" i="76"/>
  <c r="P65" i="76"/>
  <c r="A65" i="76"/>
  <c r="A66" i="76" s="1"/>
  <c r="R64" i="76"/>
  <c r="P64" i="76"/>
  <c r="P77" i="76" s="1"/>
  <c r="R63" i="76"/>
  <c r="P52" i="76"/>
  <c r="O52" i="76"/>
  <c r="N52" i="76"/>
  <c r="M52" i="76"/>
  <c r="L52" i="76"/>
  <c r="K52" i="76"/>
  <c r="J52" i="76"/>
  <c r="I52" i="76"/>
  <c r="H52" i="76"/>
  <c r="G52" i="76"/>
  <c r="F52" i="76"/>
  <c r="E52" i="76"/>
  <c r="D52" i="76"/>
  <c r="P51" i="76"/>
  <c r="D23" i="92" s="1"/>
  <c r="P50" i="76"/>
  <c r="P49" i="76"/>
  <c r="P48" i="76"/>
  <c r="P47" i="76"/>
  <c r="P46" i="76"/>
  <c r="P45" i="76"/>
  <c r="P44" i="76"/>
  <c r="P43" i="76"/>
  <c r="P42" i="76"/>
  <c r="P41" i="76"/>
  <c r="A41" i="76"/>
  <c r="A42" i="76" s="1"/>
  <c r="R40" i="76"/>
  <c r="P40" i="76"/>
  <c r="A40" i="76"/>
  <c r="R39" i="76"/>
  <c r="P39" i="76"/>
  <c r="R38" i="76"/>
  <c r="O26" i="76"/>
  <c r="I19" i="78" s="1"/>
  <c r="N26" i="76"/>
  <c r="I18" i="78" s="1"/>
  <c r="M26" i="76"/>
  <c r="I17" i="78" s="1"/>
  <c r="L26" i="76"/>
  <c r="I16" i="78" s="1"/>
  <c r="K26" i="76"/>
  <c r="I15" i="78" s="1"/>
  <c r="J26" i="76"/>
  <c r="I14" i="78" s="1"/>
  <c r="I26" i="76"/>
  <c r="I13" i="78" s="1"/>
  <c r="H26" i="76"/>
  <c r="I12" i="78" s="1"/>
  <c r="G26" i="76"/>
  <c r="I11" i="78" s="1"/>
  <c r="F26" i="76"/>
  <c r="I10" i="78" s="1"/>
  <c r="E26" i="76"/>
  <c r="D26" i="76"/>
  <c r="P26" i="76" s="1"/>
  <c r="O25" i="76"/>
  <c r="N25" i="76"/>
  <c r="M25" i="76"/>
  <c r="L25" i="76"/>
  <c r="K25" i="76"/>
  <c r="J25" i="76"/>
  <c r="I25" i="76"/>
  <c r="H25" i="76"/>
  <c r="G25" i="76"/>
  <c r="F25" i="76"/>
  <c r="E25" i="76"/>
  <c r="D25" i="76"/>
  <c r="P25" i="76" s="1"/>
  <c r="O24" i="76"/>
  <c r="N24" i="76"/>
  <c r="M24" i="76"/>
  <c r="L24" i="76"/>
  <c r="K24" i="76"/>
  <c r="J24" i="76"/>
  <c r="I24" i="76"/>
  <c r="H24" i="76"/>
  <c r="G24" i="76"/>
  <c r="F24" i="76"/>
  <c r="E24" i="76"/>
  <c r="D24" i="76"/>
  <c r="P24" i="76" s="1"/>
  <c r="O23" i="76"/>
  <c r="N23" i="76"/>
  <c r="M23" i="76"/>
  <c r="L23" i="76"/>
  <c r="K23" i="76"/>
  <c r="J23" i="76"/>
  <c r="I23" i="76"/>
  <c r="H23" i="76"/>
  <c r="G23" i="76"/>
  <c r="F23" i="76"/>
  <c r="E23" i="76"/>
  <c r="D23" i="76"/>
  <c r="P23" i="76" s="1"/>
  <c r="O22" i="76"/>
  <c r="N22" i="76"/>
  <c r="M22" i="76"/>
  <c r="L22" i="76"/>
  <c r="K22" i="76"/>
  <c r="J22" i="76"/>
  <c r="I22" i="76"/>
  <c r="H22" i="76"/>
  <c r="G22" i="76"/>
  <c r="F22" i="76"/>
  <c r="E22" i="76"/>
  <c r="P22" i="76" s="1"/>
  <c r="D22" i="76"/>
  <c r="O21" i="76"/>
  <c r="N21" i="76"/>
  <c r="M21" i="76"/>
  <c r="L21" i="76"/>
  <c r="K21" i="76"/>
  <c r="J21" i="76"/>
  <c r="I21" i="76"/>
  <c r="H21" i="76"/>
  <c r="P21" i="76" s="1"/>
  <c r="G21" i="76"/>
  <c r="F21" i="76"/>
  <c r="E21" i="76"/>
  <c r="D21" i="76"/>
  <c r="O20" i="76"/>
  <c r="N20" i="76"/>
  <c r="M20" i="76"/>
  <c r="L20" i="76"/>
  <c r="K20" i="76"/>
  <c r="J20" i="76"/>
  <c r="I20" i="76"/>
  <c r="H20" i="76"/>
  <c r="G20" i="76"/>
  <c r="F20" i="76"/>
  <c r="E20" i="76"/>
  <c r="P20" i="76" s="1"/>
  <c r="D20" i="76"/>
  <c r="O19" i="76"/>
  <c r="N19" i="76"/>
  <c r="M19" i="76"/>
  <c r="L19" i="76"/>
  <c r="K19" i="76"/>
  <c r="J19" i="76"/>
  <c r="I19" i="76"/>
  <c r="H19" i="76"/>
  <c r="G19" i="76"/>
  <c r="F19" i="76"/>
  <c r="P19" i="76" s="1"/>
  <c r="E19" i="76"/>
  <c r="D19" i="76"/>
  <c r="O18" i="76"/>
  <c r="N18" i="76"/>
  <c r="M18" i="76"/>
  <c r="L18" i="76"/>
  <c r="K18" i="76"/>
  <c r="J18" i="76"/>
  <c r="I18" i="76"/>
  <c r="H18" i="76"/>
  <c r="G18" i="76"/>
  <c r="F18" i="76"/>
  <c r="E18" i="76"/>
  <c r="D18" i="76"/>
  <c r="P18" i="76" s="1"/>
  <c r="O17" i="76"/>
  <c r="N17" i="76"/>
  <c r="M17" i="76"/>
  <c r="L17" i="76"/>
  <c r="K17" i="76"/>
  <c r="J17" i="76"/>
  <c r="I17" i="76"/>
  <c r="H17" i="76"/>
  <c r="G17" i="76"/>
  <c r="F17" i="76"/>
  <c r="E17" i="76"/>
  <c r="D17" i="76"/>
  <c r="P17" i="76" s="1"/>
  <c r="O16" i="76"/>
  <c r="N16" i="76"/>
  <c r="M16" i="76"/>
  <c r="L16" i="76"/>
  <c r="K16" i="76"/>
  <c r="J16" i="76"/>
  <c r="I16" i="76"/>
  <c r="H16" i="76"/>
  <c r="G16" i="76"/>
  <c r="F16" i="76"/>
  <c r="E16" i="76"/>
  <c r="D16" i="76"/>
  <c r="P16" i="76" s="1"/>
  <c r="Q15" i="76"/>
  <c r="O15" i="76"/>
  <c r="N15" i="76"/>
  <c r="M15" i="76"/>
  <c r="L15" i="76"/>
  <c r="K15" i="76"/>
  <c r="J15" i="76"/>
  <c r="I15" i="76"/>
  <c r="H15" i="76"/>
  <c r="G15" i="76"/>
  <c r="F15" i="76"/>
  <c r="E15" i="76"/>
  <c r="D15" i="76"/>
  <c r="P15" i="76" s="1"/>
  <c r="A15" i="76"/>
  <c r="R15" i="76" s="1"/>
  <c r="R14" i="76"/>
  <c r="Q14" i="76"/>
  <c r="O14" i="76"/>
  <c r="O27" i="76" s="1"/>
  <c r="N14" i="76"/>
  <c r="N27" i="76" s="1"/>
  <c r="M14" i="76"/>
  <c r="M27" i="76" s="1"/>
  <c r="L14" i="76"/>
  <c r="L27" i="76" s="1"/>
  <c r="K14" i="76"/>
  <c r="K27" i="76" s="1"/>
  <c r="J14" i="76"/>
  <c r="J27" i="76" s="1"/>
  <c r="I14" i="76"/>
  <c r="I27" i="76" s="1"/>
  <c r="H14" i="76"/>
  <c r="H27" i="76" s="1"/>
  <c r="G14" i="76"/>
  <c r="G27" i="76" s="1"/>
  <c r="F14" i="76"/>
  <c r="F27" i="76" s="1"/>
  <c r="E14" i="76"/>
  <c r="E27" i="76" s="1"/>
  <c r="D14" i="76"/>
  <c r="D27" i="76" s="1"/>
  <c r="R13" i="76"/>
  <c r="C111" i="75"/>
  <c r="B111" i="75"/>
  <c r="C110" i="75"/>
  <c r="B110" i="75"/>
  <c r="C109" i="75"/>
  <c r="B109" i="75"/>
  <c r="C108" i="75"/>
  <c r="B108" i="75"/>
  <c r="C107" i="75"/>
  <c r="B107" i="75"/>
  <c r="C106" i="75"/>
  <c r="B106" i="75"/>
  <c r="C105" i="75"/>
  <c r="B105" i="75"/>
  <c r="C104" i="75"/>
  <c r="B104" i="75"/>
  <c r="C103" i="75"/>
  <c r="B103" i="75"/>
  <c r="C102" i="75"/>
  <c r="B102" i="75"/>
  <c r="C101" i="75"/>
  <c r="B101" i="75"/>
  <c r="C100" i="75"/>
  <c r="B100" i="75"/>
  <c r="B99" i="75"/>
  <c r="B98" i="75"/>
  <c r="B97" i="75"/>
  <c r="B96" i="75"/>
  <c r="B95" i="75"/>
  <c r="B94" i="75"/>
  <c r="B93" i="75"/>
  <c r="B92" i="75"/>
  <c r="B91" i="75"/>
  <c r="B90" i="75"/>
  <c r="B89" i="75"/>
  <c r="A89" i="75"/>
  <c r="A90" i="75" s="1"/>
  <c r="J88" i="75"/>
  <c r="E88" i="75"/>
  <c r="E89" i="75" s="1"/>
  <c r="B88" i="75"/>
  <c r="J87" i="75"/>
  <c r="C87" i="75"/>
  <c r="B87" i="75"/>
  <c r="B86" i="75"/>
  <c r="C75" i="75"/>
  <c r="C74" i="75"/>
  <c r="C73" i="75"/>
  <c r="C72" i="75"/>
  <c r="C71" i="75"/>
  <c r="C70" i="75"/>
  <c r="C69" i="75"/>
  <c r="C68" i="75"/>
  <c r="C67" i="75"/>
  <c r="C66" i="75"/>
  <c r="C65" i="75"/>
  <c r="C64" i="75"/>
  <c r="J53" i="75"/>
  <c r="E53" i="75"/>
  <c r="A53" i="75"/>
  <c r="A54" i="75" s="1"/>
  <c r="J52" i="75"/>
  <c r="E52" i="75"/>
  <c r="J51" i="75"/>
  <c r="C51" i="75"/>
  <c r="B51" i="75"/>
  <c r="B50" i="75"/>
  <c r="G38" i="75"/>
  <c r="D38" i="75"/>
  <c r="D160" i="80" s="1"/>
  <c r="F160" i="80" s="1"/>
  <c r="C38" i="75"/>
  <c r="B38" i="75"/>
  <c r="G37" i="75"/>
  <c r="D37" i="75"/>
  <c r="D159" i="80" s="1"/>
  <c r="F159" i="80" s="1"/>
  <c r="C37" i="75"/>
  <c r="B37" i="75"/>
  <c r="G36" i="75"/>
  <c r="D36" i="75"/>
  <c r="D158" i="80" s="1"/>
  <c r="F158" i="80" s="1"/>
  <c r="C36" i="75"/>
  <c r="B36" i="75"/>
  <c r="G35" i="75"/>
  <c r="D35" i="75"/>
  <c r="D157" i="80" s="1"/>
  <c r="F157" i="80" s="1"/>
  <c r="C35" i="75"/>
  <c r="B35" i="75"/>
  <c r="G34" i="75"/>
  <c r="D34" i="75"/>
  <c r="D156" i="80" s="1"/>
  <c r="F156" i="80" s="1"/>
  <c r="C34" i="75"/>
  <c r="B34" i="75"/>
  <c r="G33" i="75"/>
  <c r="D33" i="75"/>
  <c r="D155" i="80" s="1"/>
  <c r="F155" i="80" s="1"/>
  <c r="C33" i="75"/>
  <c r="B33" i="75"/>
  <c r="G32" i="75"/>
  <c r="D32" i="75"/>
  <c r="D154" i="80" s="1"/>
  <c r="F154" i="80" s="1"/>
  <c r="C32" i="75"/>
  <c r="B32" i="75"/>
  <c r="G31" i="75"/>
  <c r="D31" i="75"/>
  <c r="D153" i="80" s="1"/>
  <c r="F153" i="80" s="1"/>
  <c r="C31" i="75"/>
  <c r="B31" i="75"/>
  <c r="G30" i="75"/>
  <c r="D30" i="75"/>
  <c r="D152" i="80" s="1"/>
  <c r="F152" i="80" s="1"/>
  <c r="C30" i="75"/>
  <c r="B30" i="75"/>
  <c r="G29" i="75"/>
  <c r="D29" i="75"/>
  <c r="D151" i="80" s="1"/>
  <c r="F151" i="80" s="1"/>
  <c r="C29" i="75"/>
  <c r="B29" i="75"/>
  <c r="G28" i="75"/>
  <c r="D28" i="75"/>
  <c r="D150" i="80" s="1"/>
  <c r="F150" i="80" s="1"/>
  <c r="C28" i="75"/>
  <c r="B28" i="75"/>
  <c r="G27" i="75"/>
  <c r="D27" i="75"/>
  <c r="D149" i="80" s="1"/>
  <c r="C27" i="75"/>
  <c r="B27" i="75"/>
  <c r="G26" i="75"/>
  <c r="D26" i="75"/>
  <c r="D143" i="80" s="1"/>
  <c r="B26" i="75"/>
  <c r="G25" i="75"/>
  <c r="D25" i="75"/>
  <c r="D142" i="80" s="1"/>
  <c r="B25" i="75"/>
  <c r="G24" i="75"/>
  <c r="D24" i="75"/>
  <c r="D141" i="80" s="1"/>
  <c r="B24" i="75"/>
  <c r="G23" i="75"/>
  <c r="D23" i="75"/>
  <c r="D140" i="80" s="1"/>
  <c r="B23" i="75"/>
  <c r="G22" i="75"/>
  <c r="D22" i="75"/>
  <c r="D139" i="80" s="1"/>
  <c r="B22" i="75"/>
  <c r="G21" i="75"/>
  <c r="D21" i="75"/>
  <c r="D138" i="80" s="1"/>
  <c r="B21" i="75"/>
  <c r="G20" i="75"/>
  <c r="D20" i="75"/>
  <c r="D137" i="80" s="1"/>
  <c r="B20" i="75"/>
  <c r="G19" i="75"/>
  <c r="D19" i="75"/>
  <c r="D136" i="80" s="1"/>
  <c r="B19" i="75"/>
  <c r="G18" i="75"/>
  <c r="D18" i="75"/>
  <c r="D135" i="80" s="1"/>
  <c r="B18" i="75"/>
  <c r="J17" i="75"/>
  <c r="G17" i="75"/>
  <c r="D17" i="75"/>
  <c r="D134" i="80" s="1"/>
  <c r="B17" i="75"/>
  <c r="A17" i="75"/>
  <c r="A18" i="75" s="1"/>
  <c r="J16" i="75"/>
  <c r="G16" i="75"/>
  <c r="D16" i="75"/>
  <c r="D133" i="80" s="1"/>
  <c r="B16" i="75"/>
  <c r="A16" i="75"/>
  <c r="J15" i="75"/>
  <c r="G15" i="75"/>
  <c r="E15" i="75"/>
  <c r="D15" i="75"/>
  <c r="D132" i="80" s="1"/>
  <c r="B15" i="75"/>
  <c r="J14" i="75"/>
  <c r="K17" i="102"/>
  <c r="A14" i="102"/>
  <c r="N13" i="102"/>
  <c r="M13" i="102"/>
  <c r="E13" i="92" s="1"/>
  <c r="L13" i="102"/>
  <c r="K13" i="102"/>
  <c r="J13" i="102"/>
  <c r="I13" i="102"/>
  <c r="E41" i="92" s="1"/>
  <c r="A13" i="102"/>
  <c r="Q13" i="102" s="1"/>
  <c r="Q12" i="102"/>
  <c r="N12" i="102"/>
  <c r="M12" i="102"/>
  <c r="D13" i="92" s="1"/>
  <c r="L12" i="102"/>
  <c r="K12" i="102"/>
  <c r="J12" i="102"/>
  <c r="I12" i="102"/>
  <c r="D41" i="92" s="1"/>
  <c r="Q11" i="102"/>
  <c r="A129" i="73"/>
  <c r="R129" i="73" s="1"/>
  <c r="A128" i="73"/>
  <c r="R128" i="73" s="1"/>
  <c r="R127" i="73"/>
  <c r="R126" i="73"/>
  <c r="D116" i="73"/>
  <c r="A116" i="73"/>
  <c r="R116" i="73" s="1"/>
  <c r="A115" i="73"/>
  <c r="R115" i="73" s="1"/>
  <c r="R114" i="73"/>
  <c r="R113" i="73"/>
  <c r="D102" i="73"/>
  <c r="A102" i="73"/>
  <c r="R102" i="73" s="1"/>
  <c r="R101" i="73"/>
  <c r="A101" i="73"/>
  <c r="R100" i="73"/>
  <c r="R99" i="73"/>
  <c r="F88" i="73"/>
  <c r="E88" i="73"/>
  <c r="D88" i="73"/>
  <c r="A88" i="73"/>
  <c r="R88" i="73" s="1"/>
  <c r="R87" i="73"/>
  <c r="D87" i="73"/>
  <c r="A87" i="73"/>
  <c r="R86" i="73"/>
  <c r="D86" i="73"/>
  <c r="R85" i="73"/>
  <c r="O75" i="73"/>
  <c r="N75" i="73"/>
  <c r="M75" i="73"/>
  <c r="L75" i="73"/>
  <c r="K75" i="73"/>
  <c r="J75" i="73"/>
  <c r="I75" i="73"/>
  <c r="H75" i="73"/>
  <c r="G75" i="73"/>
  <c r="F75" i="73"/>
  <c r="E75" i="73"/>
  <c r="D75" i="73"/>
  <c r="P74" i="73"/>
  <c r="P73" i="73"/>
  <c r="P72" i="73"/>
  <c r="P71" i="73"/>
  <c r="P70" i="73"/>
  <c r="P69" i="73"/>
  <c r="P68" i="73"/>
  <c r="P67" i="73"/>
  <c r="P66" i="73"/>
  <c r="A66" i="73"/>
  <c r="R66" i="73" s="1"/>
  <c r="P65" i="73"/>
  <c r="A65" i="73"/>
  <c r="R65" i="73" s="1"/>
  <c r="P64" i="73"/>
  <c r="A64" i="73"/>
  <c r="R64" i="73" s="1"/>
  <c r="P63" i="73"/>
  <c r="A63" i="73"/>
  <c r="R62" i="73"/>
  <c r="P62" i="73"/>
  <c r="P75" i="73" s="1"/>
  <c r="R61" i="73"/>
  <c r="O50" i="73"/>
  <c r="N50" i="73"/>
  <c r="M50" i="73"/>
  <c r="L50" i="73"/>
  <c r="K50" i="73"/>
  <c r="J50" i="73"/>
  <c r="I50" i="73"/>
  <c r="H50" i="73"/>
  <c r="G50" i="73"/>
  <c r="F50" i="73"/>
  <c r="E50" i="73"/>
  <c r="D50" i="73"/>
  <c r="P49" i="73"/>
  <c r="P48" i="73"/>
  <c r="P47" i="73"/>
  <c r="P46" i="73"/>
  <c r="P45" i="73"/>
  <c r="P44" i="73"/>
  <c r="P43" i="73"/>
  <c r="P42" i="73"/>
  <c r="P41" i="73"/>
  <c r="R40" i="73"/>
  <c r="P40" i="73"/>
  <c r="R39" i="73"/>
  <c r="P39" i="73"/>
  <c r="R38" i="73"/>
  <c r="P38" i="73"/>
  <c r="P50" i="73" s="1"/>
  <c r="A38" i="73"/>
  <c r="A39" i="73" s="1"/>
  <c r="A40" i="73" s="1"/>
  <c r="R37" i="73"/>
  <c r="P37" i="73"/>
  <c r="R36" i="73"/>
  <c r="O24" i="73"/>
  <c r="F19" i="78" s="1"/>
  <c r="M19" i="78" s="1"/>
  <c r="N24" i="73"/>
  <c r="F18" i="78" s="1"/>
  <c r="M24" i="73"/>
  <c r="L24" i="73"/>
  <c r="F16" i="78" s="1"/>
  <c r="K24" i="73"/>
  <c r="K87" i="77" s="1"/>
  <c r="J24" i="73"/>
  <c r="F14" i="78" s="1"/>
  <c r="I24" i="73"/>
  <c r="H24" i="73"/>
  <c r="F12" i="78" s="1"/>
  <c r="G24" i="73"/>
  <c r="F11" i="78" s="1"/>
  <c r="F24" i="73"/>
  <c r="F10" i="78" s="1"/>
  <c r="E24" i="73"/>
  <c r="D24" i="73"/>
  <c r="D87" i="77" s="1"/>
  <c r="O23" i="73"/>
  <c r="O86" i="77" s="1"/>
  <c r="N23" i="73"/>
  <c r="N86" i="77" s="1"/>
  <c r="M23" i="73"/>
  <c r="M86" i="77" s="1"/>
  <c r="L23" i="73"/>
  <c r="L86" i="77" s="1"/>
  <c r="K23" i="73"/>
  <c r="K86" i="77" s="1"/>
  <c r="J23" i="73"/>
  <c r="J86" i="77" s="1"/>
  <c r="I23" i="73"/>
  <c r="I86" i="77" s="1"/>
  <c r="H23" i="73"/>
  <c r="H86" i="77" s="1"/>
  <c r="G23" i="73"/>
  <c r="G86" i="77" s="1"/>
  <c r="F23" i="73"/>
  <c r="E23" i="73"/>
  <c r="E86" i="77" s="1"/>
  <c r="D23" i="73"/>
  <c r="D86" i="77" s="1"/>
  <c r="O22" i="73"/>
  <c r="O85" i="77" s="1"/>
  <c r="N22" i="73"/>
  <c r="N85" i="77" s="1"/>
  <c r="M22" i="73"/>
  <c r="M85" i="77" s="1"/>
  <c r="L22" i="73"/>
  <c r="L85" i="77" s="1"/>
  <c r="K22" i="73"/>
  <c r="K85" i="77" s="1"/>
  <c r="J22" i="73"/>
  <c r="J85" i="77" s="1"/>
  <c r="I22" i="73"/>
  <c r="I85" i="77" s="1"/>
  <c r="H22" i="73"/>
  <c r="H85" i="77" s="1"/>
  <c r="G22" i="73"/>
  <c r="G85" i="77" s="1"/>
  <c r="F22" i="73"/>
  <c r="F85" i="77" s="1"/>
  <c r="F119" i="77" s="1"/>
  <c r="E22" i="73"/>
  <c r="E85" i="77" s="1"/>
  <c r="D22" i="73"/>
  <c r="D85" i="77" s="1"/>
  <c r="O21" i="73"/>
  <c r="O84" i="77" s="1"/>
  <c r="N21" i="73"/>
  <c r="N84" i="77" s="1"/>
  <c r="M21" i="73"/>
  <c r="M84" i="77" s="1"/>
  <c r="L21" i="73"/>
  <c r="L84" i="77" s="1"/>
  <c r="K21" i="73"/>
  <c r="K84" i="77" s="1"/>
  <c r="J21" i="73"/>
  <c r="J84" i="77" s="1"/>
  <c r="I21" i="73"/>
  <c r="I84" i="77" s="1"/>
  <c r="H21" i="73"/>
  <c r="H84" i="77" s="1"/>
  <c r="G21" i="73"/>
  <c r="G84" i="77" s="1"/>
  <c r="F21" i="73"/>
  <c r="F84" i="77" s="1"/>
  <c r="F118" i="77" s="1"/>
  <c r="E21" i="73"/>
  <c r="E84" i="77" s="1"/>
  <c r="D21" i="73"/>
  <c r="D84" i="77" s="1"/>
  <c r="O20" i="73"/>
  <c r="O83" i="77" s="1"/>
  <c r="N20" i="73"/>
  <c r="N83" i="77" s="1"/>
  <c r="M20" i="73"/>
  <c r="M83" i="77" s="1"/>
  <c r="L20" i="73"/>
  <c r="L83" i="77" s="1"/>
  <c r="K20" i="73"/>
  <c r="K83" i="77" s="1"/>
  <c r="J20" i="73"/>
  <c r="J83" i="77" s="1"/>
  <c r="I20" i="73"/>
  <c r="I83" i="77" s="1"/>
  <c r="H20" i="73"/>
  <c r="H83" i="77" s="1"/>
  <c r="G20" i="73"/>
  <c r="G83" i="77" s="1"/>
  <c r="F20" i="73"/>
  <c r="F83" i="77" s="1"/>
  <c r="F117" i="77" s="1"/>
  <c r="E20" i="73"/>
  <c r="E83" i="77" s="1"/>
  <c r="D20" i="73"/>
  <c r="D83" i="77" s="1"/>
  <c r="O19" i="73"/>
  <c r="O82" i="77" s="1"/>
  <c r="N19" i="73"/>
  <c r="N82" i="77" s="1"/>
  <c r="M19" i="73"/>
  <c r="M82" i="77" s="1"/>
  <c r="L19" i="73"/>
  <c r="L82" i="77" s="1"/>
  <c r="K19" i="73"/>
  <c r="K82" i="77" s="1"/>
  <c r="J19" i="73"/>
  <c r="J82" i="77" s="1"/>
  <c r="I19" i="73"/>
  <c r="I82" i="77" s="1"/>
  <c r="H19" i="73"/>
  <c r="H82" i="77" s="1"/>
  <c r="G19" i="73"/>
  <c r="G82" i="77" s="1"/>
  <c r="F19" i="73"/>
  <c r="F82" i="77" s="1"/>
  <c r="F116" i="77" s="1"/>
  <c r="E19" i="73"/>
  <c r="E82" i="77" s="1"/>
  <c r="D19" i="73"/>
  <c r="D82" i="77" s="1"/>
  <c r="O18" i="73"/>
  <c r="O81" i="77" s="1"/>
  <c r="N18" i="73"/>
  <c r="N81" i="77" s="1"/>
  <c r="M18" i="73"/>
  <c r="M81" i="77" s="1"/>
  <c r="L18" i="73"/>
  <c r="L81" i="77" s="1"/>
  <c r="K18" i="73"/>
  <c r="K81" i="77" s="1"/>
  <c r="J18" i="73"/>
  <c r="J81" i="77" s="1"/>
  <c r="I18" i="73"/>
  <c r="I81" i="77" s="1"/>
  <c r="H18" i="73"/>
  <c r="H81" i="77" s="1"/>
  <c r="G18" i="73"/>
  <c r="G81" i="77" s="1"/>
  <c r="F18" i="73"/>
  <c r="F81" i="77" s="1"/>
  <c r="F115" i="77" s="1"/>
  <c r="E18" i="73"/>
  <c r="E81" i="77" s="1"/>
  <c r="D18" i="73"/>
  <c r="D81" i="77" s="1"/>
  <c r="O17" i="73"/>
  <c r="O80" i="77" s="1"/>
  <c r="N17" i="73"/>
  <c r="N80" i="77" s="1"/>
  <c r="M17" i="73"/>
  <c r="M80" i="77" s="1"/>
  <c r="L17" i="73"/>
  <c r="L80" i="77" s="1"/>
  <c r="K17" i="73"/>
  <c r="K80" i="77" s="1"/>
  <c r="J17" i="73"/>
  <c r="J80" i="77" s="1"/>
  <c r="I17" i="73"/>
  <c r="I80" i="77" s="1"/>
  <c r="H17" i="73"/>
  <c r="H80" i="77" s="1"/>
  <c r="G17" i="73"/>
  <c r="G80" i="77" s="1"/>
  <c r="F17" i="73"/>
  <c r="F80" i="77" s="1"/>
  <c r="F114" i="77" s="1"/>
  <c r="E17" i="73"/>
  <c r="E80" i="77" s="1"/>
  <c r="D17" i="73"/>
  <c r="D80" i="77" s="1"/>
  <c r="O16" i="73"/>
  <c r="O79" i="77" s="1"/>
  <c r="N16" i="73"/>
  <c r="N79" i="77" s="1"/>
  <c r="M16" i="73"/>
  <c r="M79" i="77" s="1"/>
  <c r="L16" i="73"/>
  <c r="L79" i="77" s="1"/>
  <c r="K16" i="73"/>
  <c r="K79" i="77" s="1"/>
  <c r="J16" i="73"/>
  <c r="J79" i="77" s="1"/>
  <c r="I16" i="73"/>
  <c r="I79" i="77" s="1"/>
  <c r="H16" i="73"/>
  <c r="H79" i="77" s="1"/>
  <c r="G16" i="73"/>
  <c r="G79" i="77" s="1"/>
  <c r="F16" i="73"/>
  <c r="F79" i="77" s="1"/>
  <c r="F113" i="77" s="1"/>
  <c r="E16" i="73"/>
  <c r="D16" i="73"/>
  <c r="D79" i="77" s="1"/>
  <c r="O15" i="73"/>
  <c r="O78" i="77" s="1"/>
  <c r="N15" i="73"/>
  <c r="N78" i="77" s="1"/>
  <c r="M15" i="73"/>
  <c r="M78" i="77" s="1"/>
  <c r="L15" i="73"/>
  <c r="L78" i="77" s="1"/>
  <c r="K15" i="73"/>
  <c r="K78" i="77" s="1"/>
  <c r="J15" i="73"/>
  <c r="J78" i="77" s="1"/>
  <c r="I15" i="73"/>
  <c r="I78" i="77" s="1"/>
  <c r="H15" i="73"/>
  <c r="H78" i="77" s="1"/>
  <c r="G15" i="73"/>
  <c r="G78" i="77" s="1"/>
  <c r="F15" i="73"/>
  <c r="F78" i="77" s="1"/>
  <c r="F112" i="77" s="1"/>
  <c r="E15" i="73"/>
  <c r="E78" i="77" s="1"/>
  <c r="D15" i="73"/>
  <c r="D78" i="77" s="1"/>
  <c r="A15" i="73"/>
  <c r="A16" i="73" s="1"/>
  <c r="Q14" i="73"/>
  <c r="O14" i="73"/>
  <c r="O77" i="77" s="1"/>
  <c r="N14" i="73"/>
  <c r="N77" i="77" s="1"/>
  <c r="M14" i="73"/>
  <c r="M77" i="77" s="1"/>
  <c r="L14" i="73"/>
  <c r="L77" i="77" s="1"/>
  <c r="K14" i="73"/>
  <c r="K77" i="77" s="1"/>
  <c r="J14" i="73"/>
  <c r="J77" i="77" s="1"/>
  <c r="I14" i="73"/>
  <c r="I77" i="77" s="1"/>
  <c r="H14" i="73"/>
  <c r="H77" i="77" s="1"/>
  <c r="G14" i="73"/>
  <c r="G77" i="77" s="1"/>
  <c r="F14" i="73"/>
  <c r="F77" i="77" s="1"/>
  <c r="F111" i="77" s="1"/>
  <c r="E14" i="73"/>
  <c r="E77" i="77" s="1"/>
  <c r="D14" i="73"/>
  <c r="D77" i="77" s="1"/>
  <c r="R13" i="73"/>
  <c r="O13" i="73"/>
  <c r="O76" i="77" s="1"/>
  <c r="N13" i="73"/>
  <c r="N76" i="77" s="1"/>
  <c r="M13" i="73"/>
  <c r="M76" i="77" s="1"/>
  <c r="L13" i="73"/>
  <c r="L76" i="77" s="1"/>
  <c r="K13" i="73"/>
  <c r="K76" i="77" s="1"/>
  <c r="J13" i="73"/>
  <c r="J76" i="77" s="1"/>
  <c r="I13" i="73"/>
  <c r="I76" i="77" s="1"/>
  <c r="H13" i="73"/>
  <c r="H76" i="77" s="1"/>
  <c r="G13" i="73"/>
  <c r="G76" i="77" s="1"/>
  <c r="F13" i="73"/>
  <c r="F76" i="77" s="1"/>
  <c r="E13" i="73"/>
  <c r="E76" i="77" s="1"/>
  <c r="D13" i="73"/>
  <c r="D76" i="77" s="1"/>
  <c r="A13" i="73"/>
  <c r="A14" i="73" s="1"/>
  <c r="R14" i="73" s="1"/>
  <c r="R12" i="73"/>
  <c r="Q12" i="73"/>
  <c r="O12" i="73"/>
  <c r="N12" i="73"/>
  <c r="M12" i="73"/>
  <c r="M25" i="73" s="1"/>
  <c r="L12" i="73"/>
  <c r="L25" i="73" s="1"/>
  <c r="K12" i="73"/>
  <c r="J12" i="73"/>
  <c r="J25" i="73" s="1"/>
  <c r="I12" i="73"/>
  <c r="I25" i="73" s="1"/>
  <c r="H12" i="73"/>
  <c r="H25" i="73" s="1"/>
  <c r="G12" i="73"/>
  <c r="F12" i="73"/>
  <c r="E12" i="73"/>
  <c r="E25" i="73" s="1"/>
  <c r="D12" i="73"/>
  <c r="R11" i="73"/>
  <c r="F24" i="72"/>
  <c r="D24" i="72"/>
  <c r="I23" i="72"/>
  <c r="G22" i="72"/>
  <c r="I22" i="72" s="1"/>
  <c r="G21" i="72"/>
  <c r="I21" i="72" s="1"/>
  <c r="G20" i="72"/>
  <c r="I20" i="72" s="1"/>
  <c r="G19" i="72"/>
  <c r="I19" i="72" s="1"/>
  <c r="G18" i="72"/>
  <c r="I18" i="72" s="1"/>
  <c r="A18" i="72"/>
  <c r="A19" i="72" s="1"/>
  <c r="A20" i="72" s="1"/>
  <c r="I17" i="72"/>
  <c r="G17" i="72"/>
  <c r="I16" i="72"/>
  <c r="G16" i="72"/>
  <c r="A16" i="72"/>
  <c r="A17" i="72" s="1"/>
  <c r="J17" i="72" s="1"/>
  <c r="J15" i="72"/>
  <c r="G15" i="72"/>
  <c r="I15" i="72" s="1"/>
  <c r="A15" i="72"/>
  <c r="J14" i="72"/>
  <c r="I14" i="72"/>
  <c r="G14" i="72"/>
  <c r="J13" i="72"/>
  <c r="G42" i="71"/>
  <c r="E42" i="71"/>
  <c r="A40" i="71"/>
  <c r="A41" i="71" s="1"/>
  <c r="A39" i="71"/>
  <c r="K39" i="71" s="1"/>
  <c r="A38" i="71"/>
  <c r="K38" i="71" s="1"/>
  <c r="K37" i="71"/>
  <c r="K36" i="71"/>
  <c r="J30" i="71"/>
  <c r="H30" i="71"/>
  <c r="G30" i="71"/>
  <c r="F30" i="71"/>
  <c r="J29" i="71"/>
  <c r="I29" i="71"/>
  <c r="J28" i="71"/>
  <c r="I28" i="71"/>
  <c r="J27" i="71"/>
  <c r="I27" i="71"/>
  <c r="J26" i="71"/>
  <c r="I26" i="71"/>
  <c r="J25" i="71"/>
  <c r="I25" i="71"/>
  <c r="J24" i="71"/>
  <c r="I24" i="71"/>
  <c r="A24" i="71"/>
  <c r="A25" i="71" s="1"/>
  <c r="J23" i="71"/>
  <c r="I23" i="71"/>
  <c r="A23" i="71"/>
  <c r="K23" i="71" s="1"/>
  <c r="K22" i="71"/>
  <c r="J22" i="71"/>
  <c r="I22" i="71"/>
  <c r="I30" i="71" s="1"/>
  <c r="K21" i="71"/>
  <c r="E11" i="71"/>
  <c r="E10" i="71"/>
  <c r="E12" i="71" s="1"/>
  <c r="F8" i="71"/>
  <c r="E7" i="71"/>
  <c r="A7" i="71"/>
  <c r="A8" i="71" s="1"/>
  <c r="K6" i="71"/>
  <c r="E6" i="71"/>
  <c r="E8" i="71" s="1"/>
  <c r="K5" i="71"/>
  <c r="F22" i="70"/>
  <c r="F14" i="70"/>
  <c r="F24" i="70" s="1"/>
  <c r="D36" i="1" s="1"/>
  <c r="D55" i="1" s="1"/>
  <c r="D63" i="1" s="1"/>
  <c r="A10" i="70"/>
  <c r="A11" i="70" s="1"/>
  <c r="A9" i="70"/>
  <c r="H9" i="70" s="1"/>
  <c r="A8" i="70"/>
  <c r="H8" i="70" s="1"/>
  <c r="H7" i="70"/>
  <c r="C39" i="69"/>
  <c r="C37" i="69"/>
  <c r="C35" i="69"/>
  <c r="C33" i="69"/>
  <c r="C31" i="69"/>
  <c r="C29" i="69"/>
  <c r="C27" i="69"/>
  <c r="C25" i="69"/>
  <c r="C23" i="69"/>
  <c r="C21" i="69"/>
  <c r="C19" i="69"/>
  <c r="C17" i="69"/>
  <c r="C15" i="69"/>
  <c r="A15" i="69"/>
  <c r="A17" i="69" s="1"/>
  <c r="Q13" i="69"/>
  <c r="C13" i="69"/>
  <c r="Q12" i="69"/>
  <c r="D29" i="68"/>
  <c r="D28" i="68"/>
  <c r="D25" i="68"/>
  <c r="D21" i="68"/>
  <c r="D27" i="68" s="1"/>
  <c r="D20" i="68"/>
  <c r="D22" i="68" s="1"/>
  <c r="D19" i="68"/>
  <c r="D13" i="68"/>
  <c r="D12" i="68"/>
  <c r="D11" i="68"/>
  <c r="D10" i="68"/>
  <c r="D9" i="68"/>
  <c r="D8" i="68"/>
  <c r="A8" i="68"/>
  <c r="A9" i="68" s="1"/>
  <c r="G7" i="68"/>
  <c r="D7" i="68"/>
  <c r="A7" i="68"/>
  <c r="G6" i="68"/>
  <c r="D6" i="68"/>
  <c r="G4" i="68"/>
  <c r="B142" i="5"/>
  <c r="E120" i="5"/>
  <c r="D119" i="5" s="1"/>
  <c r="D118" i="5"/>
  <c r="D116" i="5"/>
  <c r="D114" i="5"/>
  <c r="A108" i="5"/>
  <c r="L102" i="5"/>
  <c r="L101" i="5"/>
  <c r="B100" i="5"/>
  <c r="B99" i="5"/>
  <c r="L95" i="5"/>
  <c r="B95" i="5"/>
  <c r="D150" i="1" s="1"/>
  <c r="L94" i="5"/>
  <c r="H90" i="5"/>
  <c r="E90" i="5"/>
  <c r="C90" i="5"/>
  <c r="H89" i="5"/>
  <c r="E89" i="5"/>
  <c r="C89" i="5"/>
  <c r="H88" i="5"/>
  <c r="E88" i="5"/>
  <c r="C88" i="5"/>
  <c r="H87" i="5"/>
  <c r="E87" i="5"/>
  <c r="C87" i="5"/>
  <c r="H86" i="5"/>
  <c r="E86" i="5"/>
  <c r="C86" i="5"/>
  <c r="H85" i="5"/>
  <c r="E85" i="5"/>
  <c r="C85" i="5"/>
  <c r="H84" i="5"/>
  <c r="E84" i="5"/>
  <c r="C84" i="5"/>
  <c r="H83" i="5"/>
  <c r="E83" i="5"/>
  <c r="C83" i="5"/>
  <c r="H82" i="5"/>
  <c r="E82" i="5"/>
  <c r="C82" i="5"/>
  <c r="H81" i="5"/>
  <c r="E81" i="5"/>
  <c r="C81" i="5"/>
  <c r="H80" i="5"/>
  <c r="E80" i="5"/>
  <c r="C80" i="5"/>
  <c r="A80" i="5"/>
  <c r="A81" i="5" s="1"/>
  <c r="L79" i="5"/>
  <c r="H79" i="5"/>
  <c r="E79" i="5"/>
  <c r="C79" i="5"/>
  <c r="L78" i="5"/>
  <c r="I75" i="5"/>
  <c r="F75" i="5"/>
  <c r="E56" i="5"/>
  <c r="E55" i="5"/>
  <c r="E54" i="5"/>
  <c r="E53" i="5"/>
  <c r="E52" i="5"/>
  <c r="E51" i="5"/>
  <c r="E50" i="5"/>
  <c r="E49" i="5"/>
  <c r="E48" i="5"/>
  <c r="E47" i="5"/>
  <c r="E46" i="5"/>
  <c r="E45" i="5"/>
  <c r="K44" i="5"/>
  <c r="A44" i="5"/>
  <c r="A45" i="5" s="1"/>
  <c r="K39" i="5"/>
  <c r="F39" i="5"/>
  <c r="L36" i="5"/>
  <c r="L35" i="5"/>
  <c r="H25" i="5"/>
  <c r="G25" i="5"/>
  <c r="F25" i="5"/>
  <c r="E25" i="5"/>
  <c r="D25" i="5"/>
  <c r="C25" i="5"/>
  <c r="I24" i="5"/>
  <c r="I25" i="5" s="1"/>
  <c r="J23" i="5"/>
  <c r="J22" i="5"/>
  <c r="J21" i="5"/>
  <c r="J20" i="5"/>
  <c r="J19" i="5"/>
  <c r="J18" i="5"/>
  <c r="J17" i="5"/>
  <c r="J16" i="5"/>
  <c r="J15" i="5"/>
  <c r="J14" i="5"/>
  <c r="A14" i="5"/>
  <c r="A15" i="5" s="1"/>
  <c r="L13" i="5"/>
  <c r="J13" i="5"/>
  <c r="L12" i="5"/>
  <c r="K1" i="5"/>
  <c r="F106" i="47"/>
  <c r="A82" i="47"/>
  <c r="A83" i="47" s="1"/>
  <c r="H81" i="47"/>
  <c r="A81" i="47"/>
  <c r="H80" i="47"/>
  <c r="F80" i="47"/>
  <c r="H78" i="47"/>
  <c r="F68" i="47"/>
  <c r="A61" i="47"/>
  <c r="A63" i="47" s="1"/>
  <c r="F59" i="47"/>
  <c r="E59" i="47"/>
  <c r="E68" i="47" s="1"/>
  <c r="A59" i="47"/>
  <c r="H59" i="47" s="1"/>
  <c r="H58" i="47"/>
  <c r="E58" i="47"/>
  <c r="A58" i="47"/>
  <c r="H57" i="47"/>
  <c r="E57" i="47"/>
  <c r="H56" i="47"/>
  <c r="E42" i="47"/>
  <c r="E40" i="47"/>
  <c r="A40" i="47"/>
  <c r="H37" i="47"/>
  <c r="H36" i="47"/>
  <c r="E28" i="47"/>
  <c r="C27" i="47"/>
  <c r="E26" i="47"/>
  <c r="H25" i="47"/>
  <c r="H24" i="47"/>
  <c r="F15" i="47"/>
  <c r="E13" i="47"/>
  <c r="A9" i="47"/>
  <c r="F10" i="47" s="1"/>
  <c r="H8" i="47"/>
  <c r="A8" i="47"/>
  <c r="H7" i="47"/>
  <c r="H5" i="47"/>
  <c r="D31" i="2"/>
  <c r="E26" i="2"/>
  <c r="E25" i="2"/>
  <c r="A25" i="2"/>
  <c r="A26" i="2" s="1"/>
  <c r="G23" i="2"/>
  <c r="A23" i="2"/>
  <c r="G22" i="2"/>
  <c r="G21" i="2"/>
  <c r="A14" i="2"/>
  <c r="G11" i="2"/>
  <c r="A11" i="2"/>
  <c r="D10" i="2"/>
  <c r="A10" i="2"/>
  <c r="G10" i="2" s="1"/>
  <c r="G9" i="2"/>
  <c r="A9" i="2"/>
  <c r="E11" i="2" s="1"/>
  <c r="G6" i="2"/>
  <c r="G5" i="2"/>
  <c r="F1" i="2"/>
  <c r="A158" i="1"/>
  <c r="A159" i="1" s="1"/>
  <c r="A157" i="1"/>
  <c r="G157" i="1" s="1"/>
  <c r="G155" i="1"/>
  <c r="D155" i="1"/>
  <c r="E106" i="47" s="1"/>
  <c r="G154" i="1"/>
  <c r="E150" i="1"/>
  <c r="A150" i="1"/>
  <c r="E151" i="1" s="1"/>
  <c r="G149" i="1"/>
  <c r="A149" i="1"/>
  <c r="G148" i="1"/>
  <c r="G147" i="1"/>
  <c r="D141" i="1"/>
  <c r="E95" i="47" s="1"/>
  <c r="D140" i="1"/>
  <c r="D30" i="2" s="1"/>
  <c r="D136" i="1"/>
  <c r="E90" i="47" s="1"/>
  <c r="D134" i="1"/>
  <c r="E88" i="47" s="1"/>
  <c r="D127" i="1"/>
  <c r="E82" i="47" s="1"/>
  <c r="A126" i="1"/>
  <c r="F81" i="47" s="1"/>
  <c r="G125" i="1"/>
  <c r="G123" i="1"/>
  <c r="D119" i="1"/>
  <c r="D118" i="1"/>
  <c r="D108" i="1"/>
  <c r="E69" i="47" s="1"/>
  <c r="D103" i="1"/>
  <c r="E70" i="47" s="1"/>
  <c r="D99" i="1"/>
  <c r="C29" i="87" s="1"/>
  <c r="C31" i="87" s="1"/>
  <c r="A99" i="1"/>
  <c r="D29" i="87" s="1"/>
  <c r="D98" i="1"/>
  <c r="A98" i="1"/>
  <c r="G98" i="1" s="1"/>
  <c r="G97" i="1"/>
  <c r="D97" i="1"/>
  <c r="G96" i="1"/>
  <c r="D88" i="1"/>
  <c r="A79" i="1"/>
  <c r="E80" i="1" s="1"/>
  <c r="G78" i="1"/>
  <c r="G76" i="1"/>
  <c r="D69" i="1"/>
  <c r="E46" i="47" s="1"/>
  <c r="D65" i="1"/>
  <c r="D58" i="1"/>
  <c r="A37" i="1"/>
  <c r="A40" i="1" s="1"/>
  <c r="G36" i="1"/>
  <c r="A36" i="1"/>
  <c r="E55" i="1" s="1"/>
  <c r="G35" i="1"/>
  <c r="G33" i="1"/>
  <c r="D28" i="1"/>
  <c r="D26" i="1"/>
  <c r="G25" i="1"/>
  <c r="G24" i="1"/>
  <c r="D19" i="1"/>
  <c r="E15" i="1"/>
  <c r="D13" i="1"/>
  <c r="A9" i="1"/>
  <c r="E10" i="1" s="1"/>
  <c r="G8" i="1"/>
  <c r="A8" i="1"/>
  <c r="G7" i="1"/>
  <c r="G5" i="1"/>
  <c r="F2" i="1"/>
  <c r="J24" i="5" l="1"/>
  <c r="J25" i="5" s="1"/>
  <c r="D108" i="5"/>
  <c r="D110" i="5"/>
  <c r="D112" i="5"/>
  <c r="N14" i="102"/>
  <c r="E9" i="47" s="1"/>
  <c r="E49" i="47" s="1"/>
  <c r="E71" i="47" s="1"/>
  <c r="J14" i="102"/>
  <c r="F41" i="92"/>
  <c r="F13" i="92"/>
  <c r="K14" i="102"/>
  <c r="H63" i="47"/>
  <c r="F61" i="47"/>
  <c r="A66" i="47"/>
  <c r="F23" i="82"/>
  <c r="A10" i="71"/>
  <c r="K8" i="71"/>
  <c r="A21" i="72"/>
  <c r="J20" i="72"/>
  <c r="A27" i="2"/>
  <c r="G26" i="2"/>
  <c r="A82" i="5"/>
  <c r="L81" i="5"/>
  <c r="A10" i="68"/>
  <c r="G9" i="68"/>
  <c r="D40" i="1"/>
  <c r="D26" i="68"/>
  <c r="D30" i="68" s="1"/>
  <c r="D45" i="1" s="1"/>
  <c r="Q17" i="69"/>
  <c r="A19" i="69"/>
  <c r="A42" i="71"/>
  <c r="K41" i="71"/>
  <c r="A160" i="1"/>
  <c r="G160" i="1" s="1"/>
  <c r="G159" i="1"/>
  <c r="E160" i="1"/>
  <c r="A12" i="70"/>
  <c r="H11" i="70"/>
  <c r="E31" i="89"/>
  <c r="D31" i="89"/>
  <c r="G40" i="1"/>
  <c r="E42" i="1"/>
  <c r="A41" i="1"/>
  <c r="A46" i="5"/>
  <c r="L45" i="5"/>
  <c r="A26" i="71"/>
  <c r="K25" i="71"/>
  <c r="L15" i="5"/>
  <c r="A16" i="5"/>
  <c r="E14" i="71"/>
  <c r="D41" i="1" s="1"/>
  <c r="D56" i="1" s="1"/>
  <c r="D64" i="1" s="1"/>
  <c r="H83" i="47"/>
  <c r="A84" i="47"/>
  <c r="C58" i="89"/>
  <c r="C50" i="89"/>
  <c r="C57" i="89"/>
  <c r="F1" i="91"/>
  <c r="E1" i="90"/>
  <c r="C56" i="89"/>
  <c r="C48" i="89"/>
  <c r="C55" i="89"/>
  <c r="C47" i="89"/>
  <c r="C52" i="89"/>
  <c r="J1" i="89"/>
  <c r="E1" i="88"/>
  <c r="C49" i="89"/>
  <c r="J1" i="86"/>
  <c r="C53" i="89"/>
  <c r="F1" i="87"/>
  <c r="C54" i="89"/>
  <c r="C51" i="89"/>
  <c r="P1" i="84"/>
  <c r="BI1" i="104"/>
  <c r="B61" i="83"/>
  <c r="B67" i="83"/>
  <c r="B59" i="83"/>
  <c r="B66" i="83"/>
  <c r="B58" i="83"/>
  <c r="B65" i="83"/>
  <c r="B57" i="83"/>
  <c r="F1" i="81"/>
  <c r="BG1" i="103"/>
  <c r="B63" i="83"/>
  <c r="F1" i="82"/>
  <c r="B62" i="83"/>
  <c r="B56" i="83"/>
  <c r="B122" i="80"/>
  <c r="B114" i="80"/>
  <c r="C48" i="79"/>
  <c r="C46" i="79"/>
  <c r="C44" i="79"/>
  <c r="C42" i="79"/>
  <c r="C40" i="79"/>
  <c r="C38" i="79"/>
  <c r="C20" i="79"/>
  <c r="B121" i="80"/>
  <c r="B113" i="80"/>
  <c r="C23" i="79"/>
  <c r="C15" i="79"/>
  <c r="B120" i="80"/>
  <c r="B112" i="80"/>
  <c r="C18" i="79"/>
  <c r="J1" i="83"/>
  <c r="B119" i="80"/>
  <c r="B111" i="80"/>
  <c r="C21" i="79"/>
  <c r="C13" i="79"/>
  <c r="B118" i="80"/>
  <c r="M1" i="80"/>
  <c r="C49" i="79"/>
  <c r="C47" i="79"/>
  <c r="C45" i="79"/>
  <c r="C43" i="79"/>
  <c r="C41" i="79"/>
  <c r="C39" i="79"/>
  <c r="C37" i="79"/>
  <c r="C24" i="79"/>
  <c r="C16" i="79"/>
  <c r="B117" i="80"/>
  <c r="C19" i="79"/>
  <c r="I1" i="79"/>
  <c r="B64" i="83"/>
  <c r="B116" i="80"/>
  <c r="C22" i="79"/>
  <c r="C14" i="79"/>
  <c r="B60" i="83"/>
  <c r="B115" i="80"/>
  <c r="C25" i="79"/>
  <c r="C17" i="79"/>
  <c r="B61" i="77"/>
  <c r="C50" i="76"/>
  <c r="C48" i="76"/>
  <c r="C46" i="76"/>
  <c r="C44" i="76"/>
  <c r="C42" i="76"/>
  <c r="C40" i="76"/>
  <c r="C22" i="76"/>
  <c r="C14" i="76"/>
  <c r="C56" i="75"/>
  <c r="C121" i="77"/>
  <c r="C120" i="77"/>
  <c r="C119" i="77"/>
  <c r="C118" i="77"/>
  <c r="C117" i="77"/>
  <c r="C116" i="77"/>
  <c r="C115" i="77"/>
  <c r="C114" i="77"/>
  <c r="C113" i="77"/>
  <c r="C112" i="77"/>
  <c r="C111" i="77"/>
  <c r="P1" i="77"/>
  <c r="C127" i="76"/>
  <c r="C101" i="76"/>
  <c r="C76" i="76"/>
  <c r="C74" i="76"/>
  <c r="C72" i="76"/>
  <c r="C70" i="76"/>
  <c r="C68" i="76"/>
  <c r="C66" i="76"/>
  <c r="C64" i="76"/>
  <c r="C21" i="76"/>
  <c r="C57" i="75"/>
  <c r="C24" i="75"/>
  <c r="C20" i="75"/>
  <c r="C16" i="75"/>
  <c r="C128" i="73"/>
  <c r="C17" i="73"/>
  <c r="C110" i="77"/>
  <c r="C87" i="77"/>
  <c r="C86" i="77"/>
  <c r="C85" i="77"/>
  <c r="C84" i="77"/>
  <c r="C83" i="77"/>
  <c r="C82" i="77"/>
  <c r="C81" i="77"/>
  <c r="C80" i="77"/>
  <c r="C79" i="77"/>
  <c r="C78" i="77"/>
  <c r="C77" i="77"/>
  <c r="C76" i="77"/>
  <c r="B25" i="77"/>
  <c r="C102" i="76"/>
  <c r="C88" i="76"/>
  <c r="C20" i="76"/>
  <c r="P1" i="76"/>
  <c r="C58" i="75"/>
  <c r="C49" i="73"/>
  <c r="C47" i="73"/>
  <c r="C45" i="73"/>
  <c r="C43" i="73"/>
  <c r="C41" i="73"/>
  <c r="C39" i="73"/>
  <c r="C37" i="73"/>
  <c r="C24" i="73"/>
  <c r="C16" i="73"/>
  <c r="C128" i="76"/>
  <c r="C19" i="76"/>
  <c r="C59" i="75"/>
  <c r="C23" i="75"/>
  <c r="C19" i="75"/>
  <c r="C15" i="75"/>
  <c r="C114" i="73"/>
  <c r="C73" i="73"/>
  <c r="C71" i="73"/>
  <c r="C69" i="73"/>
  <c r="C67" i="73"/>
  <c r="C65" i="73"/>
  <c r="C63" i="73"/>
  <c r="C23" i="73"/>
  <c r="C15" i="73"/>
  <c r="C51" i="76"/>
  <c r="C49" i="76"/>
  <c r="C47" i="76"/>
  <c r="C45" i="76"/>
  <c r="C43" i="76"/>
  <c r="C41" i="76"/>
  <c r="C39" i="76"/>
  <c r="C26" i="76"/>
  <c r="C18" i="76"/>
  <c r="C99" i="75"/>
  <c r="C98" i="75"/>
  <c r="C97" i="75"/>
  <c r="C96" i="75"/>
  <c r="C95" i="75"/>
  <c r="C94" i="75"/>
  <c r="C93" i="75"/>
  <c r="C92" i="75"/>
  <c r="C91" i="75"/>
  <c r="C90" i="75"/>
  <c r="C89" i="75"/>
  <c r="C88" i="75"/>
  <c r="C60" i="75"/>
  <c r="C52" i="75"/>
  <c r="C115" i="76"/>
  <c r="C75" i="76"/>
  <c r="C73" i="76"/>
  <c r="C71" i="76"/>
  <c r="C69" i="76"/>
  <c r="C67" i="76"/>
  <c r="C65" i="76"/>
  <c r="C25" i="76"/>
  <c r="C17" i="76"/>
  <c r="C61" i="75"/>
  <c r="C53" i="75"/>
  <c r="C26" i="75"/>
  <c r="C22" i="75"/>
  <c r="C18" i="75"/>
  <c r="C21" i="73"/>
  <c r="B38" i="77"/>
  <c r="C116" i="76"/>
  <c r="C87" i="76"/>
  <c r="C24" i="76"/>
  <c r="C16" i="76"/>
  <c r="C62" i="75"/>
  <c r="C54" i="75"/>
  <c r="I1" i="75"/>
  <c r="C48" i="73"/>
  <c r="C46" i="73"/>
  <c r="C44" i="73"/>
  <c r="C42" i="73"/>
  <c r="C40" i="73"/>
  <c r="C38" i="73"/>
  <c r="C20" i="73"/>
  <c r="B51" i="77"/>
  <c r="C23" i="76"/>
  <c r="C15" i="76"/>
  <c r="C63" i="75"/>
  <c r="C55" i="75"/>
  <c r="C25" i="75"/>
  <c r="C21" i="75"/>
  <c r="C17" i="75"/>
  <c r="P1" i="102"/>
  <c r="C127" i="73"/>
  <c r="C100" i="73"/>
  <c r="C74" i="73"/>
  <c r="C72" i="73"/>
  <c r="C70" i="73"/>
  <c r="C68" i="73"/>
  <c r="C66" i="73"/>
  <c r="C64" i="73"/>
  <c r="C62" i="73"/>
  <c r="C19" i="73"/>
  <c r="C32" i="87"/>
  <c r="D117" i="1"/>
  <c r="H128" i="80" s="1"/>
  <c r="E94" i="47"/>
  <c r="B31" i="5"/>
  <c r="C47" i="5"/>
  <c r="C110" i="5" s="1"/>
  <c r="C51" i="5"/>
  <c r="C114" i="5" s="1"/>
  <c r="C55" i="5"/>
  <c r="C118" i="5" s="1"/>
  <c r="J10" i="69"/>
  <c r="H10" i="70"/>
  <c r="K40" i="71"/>
  <c r="P1" i="73"/>
  <c r="D112" i="77"/>
  <c r="P78" i="77"/>
  <c r="C18" i="73"/>
  <c r="D118" i="77"/>
  <c r="P84" i="77"/>
  <c r="D121" i="77"/>
  <c r="A17" i="102"/>
  <c r="Q14" i="102"/>
  <c r="A43" i="76"/>
  <c r="R42" i="76"/>
  <c r="G9" i="1"/>
  <c r="E99" i="1"/>
  <c r="E117" i="1"/>
  <c r="G158" i="1"/>
  <c r="F1" i="68"/>
  <c r="P1" i="69"/>
  <c r="K10" i="69"/>
  <c r="G1" i="70"/>
  <c r="G24" i="72"/>
  <c r="J18" i="72"/>
  <c r="C14" i="73"/>
  <c r="D115" i="77"/>
  <c r="P81" i="77"/>
  <c r="E87" i="77"/>
  <c r="P87" i="77" s="1"/>
  <c r="P24" i="73"/>
  <c r="F17" i="78"/>
  <c r="M87" i="77"/>
  <c r="C101" i="73"/>
  <c r="A79" i="77"/>
  <c r="Q78" i="77"/>
  <c r="A10" i="1"/>
  <c r="G99" i="1"/>
  <c r="G1" i="47"/>
  <c r="H40" i="47"/>
  <c r="L44" i="5"/>
  <c r="C48" i="5"/>
  <c r="C111" i="5" s="1"/>
  <c r="C52" i="5"/>
  <c r="C115" i="5" s="1"/>
  <c r="C56" i="5"/>
  <c r="G8" i="68"/>
  <c r="D10" i="69"/>
  <c r="L10" i="69"/>
  <c r="I24" i="72"/>
  <c r="C12" i="73"/>
  <c r="K25" i="73"/>
  <c r="C13" i="73"/>
  <c r="D111" i="77"/>
  <c r="P77" i="77"/>
  <c r="F21" i="78"/>
  <c r="M10" i="78"/>
  <c r="H10" i="78"/>
  <c r="M18" i="78"/>
  <c r="H18" i="78"/>
  <c r="J18" i="78" s="1"/>
  <c r="C86" i="73"/>
  <c r="F135" i="80"/>
  <c r="M121" i="77"/>
  <c r="M120" i="77"/>
  <c r="M119" i="77"/>
  <c r="M118" i="77"/>
  <c r="M117" i="77"/>
  <c r="M116" i="77"/>
  <c r="M115" i="77"/>
  <c r="M114" i="77"/>
  <c r="M113" i="77"/>
  <c r="M112" i="77"/>
  <c r="M111" i="77"/>
  <c r="M110" i="77"/>
  <c r="E37" i="1"/>
  <c r="G79" i="1"/>
  <c r="A102" i="1"/>
  <c r="G150" i="1"/>
  <c r="F2" i="2"/>
  <c r="G14" i="2"/>
  <c r="H9" i="47"/>
  <c r="A41" i="47"/>
  <c r="H82" i="47"/>
  <c r="L80" i="5"/>
  <c r="L108" i="5"/>
  <c r="D14" i="68"/>
  <c r="D15" i="68" s="1"/>
  <c r="D16" i="68" s="1"/>
  <c r="D35" i="1" s="1"/>
  <c r="E10" i="69"/>
  <c r="M10" i="69"/>
  <c r="J16" i="72"/>
  <c r="J19" i="72"/>
  <c r="D25" i="73"/>
  <c r="P12" i="73"/>
  <c r="D110" i="77"/>
  <c r="P76" i="77"/>
  <c r="D114" i="77"/>
  <c r="P80" i="77"/>
  <c r="D117" i="77"/>
  <c r="P83" i="77"/>
  <c r="D120" i="77"/>
  <c r="H11" i="78"/>
  <c r="J11" i="78"/>
  <c r="M11" i="78"/>
  <c r="C115" i="73"/>
  <c r="A19" i="75"/>
  <c r="J18" i="75"/>
  <c r="F137" i="80"/>
  <c r="E90" i="75"/>
  <c r="G37" i="1"/>
  <c r="E33" i="89"/>
  <c r="D33" i="89"/>
  <c r="A80" i="1"/>
  <c r="G126" i="1"/>
  <c r="A151" i="1"/>
  <c r="A15" i="2"/>
  <c r="A10" i="47"/>
  <c r="L14" i="5"/>
  <c r="C45" i="5"/>
  <c r="C49" i="5"/>
  <c r="C112" i="5" s="1"/>
  <c r="C53" i="5"/>
  <c r="C116" i="5" s="1"/>
  <c r="A109" i="5"/>
  <c r="F10" i="69"/>
  <c r="N10" i="69"/>
  <c r="Q15" i="69"/>
  <c r="P15" i="73"/>
  <c r="P21" i="73"/>
  <c r="A41" i="73"/>
  <c r="Q15" i="73"/>
  <c r="R63" i="73"/>
  <c r="Q13" i="73"/>
  <c r="A67" i="73"/>
  <c r="L14" i="102"/>
  <c r="L17" i="102"/>
  <c r="Q16" i="76"/>
  <c r="A67" i="76"/>
  <c r="Q17" i="76" s="1"/>
  <c r="R66" i="76"/>
  <c r="A127" i="1"/>
  <c r="G25" i="2"/>
  <c r="H61" i="47"/>
  <c r="F87" i="47"/>
  <c r="K2" i="5"/>
  <c r="G10" i="69"/>
  <c r="O10" i="69"/>
  <c r="J1" i="71"/>
  <c r="K7" i="71"/>
  <c r="K24" i="71"/>
  <c r="F25" i="73"/>
  <c r="N25" i="73"/>
  <c r="R15" i="73"/>
  <c r="C22" i="73"/>
  <c r="P23" i="73"/>
  <c r="F86" i="77"/>
  <c r="F120" i="77" s="1"/>
  <c r="F13" i="78"/>
  <c r="I87" i="77"/>
  <c r="A91" i="75"/>
  <c r="J90" i="75"/>
  <c r="F110" i="77"/>
  <c r="C46" i="5"/>
  <c r="C109" i="5" s="1"/>
  <c r="C50" i="5"/>
  <c r="C113" i="5" s="1"/>
  <c r="C54" i="5"/>
  <c r="C117" i="5" s="1"/>
  <c r="D109" i="5"/>
  <c r="D111" i="5"/>
  <c r="D113" i="5"/>
  <c r="D115" i="5"/>
  <c r="D117" i="5"/>
  <c r="H10" i="69"/>
  <c r="P10" i="69"/>
  <c r="C36" i="90"/>
  <c r="G25" i="73"/>
  <c r="O25" i="73"/>
  <c r="D113" i="77"/>
  <c r="D116" i="77"/>
  <c r="P82" i="77"/>
  <c r="D119" i="77"/>
  <c r="P85" i="77"/>
  <c r="C87" i="73"/>
  <c r="G110" i="77"/>
  <c r="I10" i="69"/>
  <c r="I1" i="72"/>
  <c r="P13" i="73"/>
  <c r="A17" i="73"/>
  <c r="R16" i="73"/>
  <c r="E79" i="77"/>
  <c r="P79" i="77" s="1"/>
  <c r="P16" i="73"/>
  <c r="P17" i="73"/>
  <c r="F133" i="80"/>
  <c r="A55" i="75"/>
  <c r="J54" i="75"/>
  <c r="N121" i="77"/>
  <c r="P14" i="73"/>
  <c r="P22" i="73"/>
  <c r="E16" i="75"/>
  <c r="J89" i="75"/>
  <c r="A16" i="76"/>
  <c r="R128" i="76"/>
  <c r="F87" i="77"/>
  <c r="F121" i="77" s="1"/>
  <c r="N87" i="77"/>
  <c r="I98" i="77"/>
  <c r="G111" i="77"/>
  <c r="G112" i="77"/>
  <c r="G113" i="77"/>
  <c r="G114" i="77"/>
  <c r="G115" i="77"/>
  <c r="G116" i="77"/>
  <c r="G117" i="77"/>
  <c r="G118" i="77"/>
  <c r="G119" i="77"/>
  <c r="G120" i="77"/>
  <c r="G121" i="77"/>
  <c r="A113" i="80"/>
  <c r="N112" i="80"/>
  <c r="H19" i="78"/>
  <c r="J19" i="78" s="1"/>
  <c r="E11" i="92"/>
  <c r="C42" i="90"/>
  <c r="F134" i="80"/>
  <c r="F138" i="80"/>
  <c r="F142" i="80"/>
  <c r="G87" i="77"/>
  <c r="O87" i="77"/>
  <c r="J98" i="77"/>
  <c r="F15" i="78"/>
  <c r="G117" i="80"/>
  <c r="A135" i="80"/>
  <c r="N134" i="80"/>
  <c r="H12" i="78"/>
  <c r="M12" i="78"/>
  <c r="I14" i="102"/>
  <c r="E54" i="75"/>
  <c r="H87" i="77"/>
  <c r="N110" i="77"/>
  <c r="A16" i="79"/>
  <c r="J15" i="79"/>
  <c r="F139" i="80"/>
  <c r="F143" i="80"/>
  <c r="N111" i="77"/>
  <c r="N112" i="77"/>
  <c r="N113" i="77"/>
  <c r="N114" i="77"/>
  <c r="N115" i="77"/>
  <c r="N116" i="77"/>
  <c r="N117" i="77"/>
  <c r="N118" i="77"/>
  <c r="N119" i="77"/>
  <c r="N120" i="77"/>
  <c r="A41" i="79"/>
  <c r="J40" i="79"/>
  <c r="P18" i="73"/>
  <c r="P14" i="76"/>
  <c r="P27" i="76" s="1"/>
  <c r="E19" i="47" s="1"/>
  <c r="F23" i="92"/>
  <c r="R65" i="76"/>
  <c r="Q14" i="77"/>
  <c r="J87" i="77"/>
  <c r="A35" i="80"/>
  <c r="N34" i="80"/>
  <c r="A98" i="80"/>
  <c r="N97" i="80"/>
  <c r="E102" i="80"/>
  <c r="P19" i="73"/>
  <c r="D144" i="80"/>
  <c r="F132" i="80"/>
  <c r="F136" i="80"/>
  <c r="F140" i="80"/>
  <c r="D161" i="80"/>
  <c r="F149" i="80"/>
  <c r="F161" i="80" s="1"/>
  <c r="R41" i="76"/>
  <c r="E121" i="77"/>
  <c r="E120" i="77"/>
  <c r="E119" i="77"/>
  <c r="E118" i="77"/>
  <c r="E117" i="77"/>
  <c r="E116" i="77"/>
  <c r="E115" i="77"/>
  <c r="E114" i="77"/>
  <c r="E112" i="77"/>
  <c r="E111" i="77"/>
  <c r="E110" i="77"/>
  <c r="A112" i="77"/>
  <c r="H98" i="77"/>
  <c r="O98" i="77"/>
  <c r="L98" i="77"/>
  <c r="K98" i="77"/>
  <c r="J12" i="78"/>
  <c r="H14" i="78"/>
  <c r="J14" i="78" s="1"/>
  <c r="A32" i="78"/>
  <c r="Q31" i="78"/>
  <c r="P20" i="73"/>
  <c r="M16" i="78"/>
  <c r="H16" i="78"/>
  <c r="J16" i="78" s="1"/>
  <c r="D11" i="92"/>
  <c r="C41" i="90"/>
  <c r="M14" i="102"/>
  <c r="D9" i="1" s="1"/>
  <c r="D72" i="1" s="1"/>
  <c r="D120" i="1" s="1"/>
  <c r="I21" i="78"/>
  <c r="L87" i="77"/>
  <c r="A15" i="78"/>
  <c r="Q14" i="78"/>
  <c r="M14" i="78"/>
  <c r="A57" i="80"/>
  <c r="N56" i="80"/>
  <c r="A79" i="80"/>
  <c r="N78" i="80"/>
  <c r="F141" i="80"/>
  <c r="E13" i="80"/>
  <c r="A13" i="80"/>
  <c r="N12" i="80"/>
  <c r="N33" i="80"/>
  <c r="N55" i="80"/>
  <c r="A45" i="103"/>
  <c r="BH44" i="103"/>
  <c r="N77" i="80"/>
  <c r="J110" i="80"/>
  <c r="F27" i="82"/>
  <c r="A27" i="82"/>
  <c r="G27" i="82" s="1"/>
  <c r="A57" i="83"/>
  <c r="BD28" i="103"/>
  <c r="BF28" i="103" s="1"/>
  <c r="N111" i="80"/>
  <c r="I144" i="80"/>
  <c r="I161" i="80"/>
  <c r="A43" i="82"/>
  <c r="G43" i="82" s="1"/>
  <c r="F43" i="82"/>
  <c r="G64" i="83"/>
  <c r="BH16" i="103"/>
  <c r="A17" i="103"/>
  <c r="BD27" i="103"/>
  <c r="A37" i="103"/>
  <c r="BH36" i="103"/>
  <c r="AP37" i="103"/>
  <c r="AX37" i="103"/>
  <c r="BD37" i="103" s="1"/>
  <c r="BF37" i="103" s="1"/>
  <c r="J39" i="79"/>
  <c r="N95" i="80"/>
  <c r="N133" i="80"/>
  <c r="G41" i="82"/>
  <c r="AX35" i="103"/>
  <c r="AP35" i="103"/>
  <c r="AJ34" i="103"/>
  <c r="AJ13" i="103" s="1"/>
  <c r="AP13" i="103" s="1"/>
  <c r="D38" i="80"/>
  <c r="D43" i="80" s="1"/>
  <c r="E44" i="80" s="1"/>
  <c r="A29" i="103"/>
  <c r="BH28" i="103"/>
  <c r="AP29" i="103"/>
  <c r="AP26" i="103" s="1"/>
  <c r="AJ26" i="103"/>
  <c r="AJ12" i="103" s="1"/>
  <c r="AX29" i="103"/>
  <c r="BD29" i="103" s="1"/>
  <c r="BF29" i="103" s="1"/>
  <c r="A12" i="81"/>
  <c r="F8" i="81"/>
  <c r="D7" i="81"/>
  <c r="F13" i="82"/>
  <c r="A13" i="82"/>
  <c r="G12" i="82"/>
  <c r="A27" i="83"/>
  <c r="K26" i="83"/>
  <c r="G49" i="82"/>
  <c r="K55" i="83"/>
  <c r="X35" i="103"/>
  <c r="X34" i="103" s="1"/>
  <c r="BH35" i="103"/>
  <c r="BB46" i="103"/>
  <c r="BD46" i="103" s="1"/>
  <c r="BF46" i="103" s="1"/>
  <c r="X54" i="103"/>
  <c r="AP55" i="103"/>
  <c r="AP63" i="103"/>
  <c r="BF69" i="103"/>
  <c r="BD72" i="103"/>
  <c r="BF72" i="103" s="1"/>
  <c r="BF77" i="103"/>
  <c r="BF80" i="103"/>
  <c r="AZ82" i="103"/>
  <c r="BD82" i="103" s="1"/>
  <c r="BF82" i="103" s="1"/>
  <c r="AP82" i="103"/>
  <c r="AZ87" i="103"/>
  <c r="AP87" i="103"/>
  <c r="AP93" i="103"/>
  <c r="A106" i="103"/>
  <c r="BH104" i="103"/>
  <c r="BF118" i="103"/>
  <c r="F25" i="82"/>
  <c r="G40" i="82"/>
  <c r="A50" i="82"/>
  <c r="AX48" i="103"/>
  <c r="BD48" i="103" s="1"/>
  <c r="BF48" i="103" s="1"/>
  <c r="AL55" i="103"/>
  <c r="AZ55" i="103" s="1"/>
  <c r="AP56" i="103"/>
  <c r="AP57" i="103"/>
  <c r="AP62" i="103"/>
  <c r="AZ62" i="103"/>
  <c r="BD62" i="103" s="1"/>
  <c r="BF62" i="103" s="1"/>
  <c r="BD64" i="103"/>
  <c r="BF64" i="103" s="1"/>
  <c r="BD68" i="103"/>
  <c r="BF68" i="103" s="1"/>
  <c r="BD76" i="103"/>
  <c r="BF76" i="103" s="1"/>
  <c r="BF85" i="103"/>
  <c r="BF88" i="103"/>
  <c r="AZ90" i="103"/>
  <c r="BD90" i="103" s="1"/>
  <c r="BF90" i="103" s="1"/>
  <c r="AP90" i="103"/>
  <c r="AZ95" i="103"/>
  <c r="BD95" i="103" s="1"/>
  <c r="BF95" i="103" s="1"/>
  <c r="AP95" i="103"/>
  <c r="BF96" i="103"/>
  <c r="AZ98" i="103"/>
  <c r="BD98" i="103" s="1"/>
  <c r="BF98" i="103" s="1"/>
  <c r="AP98" i="103"/>
  <c r="BD113" i="103"/>
  <c r="BB31" i="103"/>
  <c r="BD31" i="103" s="1"/>
  <c r="BF31" i="103" s="1"/>
  <c r="AJ36" i="103"/>
  <c r="X36" i="103"/>
  <c r="AP39" i="103"/>
  <c r="BD43" i="103"/>
  <c r="BF63" i="103"/>
  <c r="AP70" i="103"/>
  <c r="AZ70" i="103"/>
  <c r="BD70" i="103" s="1"/>
  <c r="BF70" i="103" s="1"/>
  <c r="AP78" i="103"/>
  <c r="AZ78" i="103"/>
  <c r="BD79" i="103"/>
  <c r="BF79" i="103" s="1"/>
  <c r="BF84" i="103"/>
  <c r="BF93" i="103"/>
  <c r="BD103" i="103"/>
  <c r="AX102" i="103"/>
  <c r="AX15" i="103" s="1"/>
  <c r="BF120" i="103"/>
  <c r="A128" i="103"/>
  <c r="BH127" i="103"/>
  <c r="BF126" i="103"/>
  <c r="BF21" i="103" s="1"/>
  <c r="BF129" i="103"/>
  <c r="BF125" i="103"/>
  <c r="BF128" i="103"/>
  <c r="BF127" i="103"/>
  <c r="BF22" i="103" s="1"/>
  <c r="R26" i="103"/>
  <c r="R12" i="103" s="1"/>
  <c r="X29" i="103"/>
  <c r="X26" i="103" s="1"/>
  <c r="AP30" i="103"/>
  <c r="AP44" i="103"/>
  <c r="AJ42" i="103"/>
  <c r="AJ14" i="103" s="1"/>
  <c r="AP54" i="103"/>
  <c r="BD55" i="103"/>
  <c r="BF55" i="103" s="1"/>
  <c r="AP86" i="103"/>
  <c r="AZ86" i="103"/>
  <c r="BD86" i="103" s="1"/>
  <c r="BF86" i="103" s="1"/>
  <c r="BD87" i="103"/>
  <c r="BF87" i="103" s="1"/>
  <c r="BF92" i="103"/>
  <c r="AZ102" i="103"/>
  <c r="AZ15" i="103" s="1"/>
  <c r="BF119" i="103"/>
  <c r="AN26" i="103"/>
  <c r="AN12" i="103" s="1"/>
  <c r="X37" i="103"/>
  <c r="X46" i="103"/>
  <c r="X42" i="103" s="1"/>
  <c r="AP47" i="103"/>
  <c r="BD56" i="103"/>
  <c r="BF56" i="103" s="1"/>
  <c r="AP61" i="103"/>
  <c r="BD67" i="103"/>
  <c r="BF67" i="103" s="1"/>
  <c r="BD73" i="103"/>
  <c r="BF73" i="103" s="1"/>
  <c r="BD78" i="103"/>
  <c r="BF78" i="103" s="1"/>
  <c r="AP94" i="103"/>
  <c r="AZ94" i="103"/>
  <c r="BD94" i="103" s="1"/>
  <c r="BF94" i="103" s="1"/>
  <c r="BD106" i="103"/>
  <c r="BF106" i="103" s="1"/>
  <c r="BB116" i="103"/>
  <c r="BB16" i="103" s="1"/>
  <c r="BD129" i="103"/>
  <c r="AL47" i="103"/>
  <c r="AZ47" i="103" s="1"/>
  <c r="AL59" i="103"/>
  <c r="AZ59" i="103" s="1"/>
  <c r="AZ42" i="103" s="1"/>
  <c r="AZ14" i="103" s="1"/>
  <c r="AZ17" i="103" s="1"/>
  <c r="X59" i="103"/>
  <c r="AX60" i="103"/>
  <c r="BD60" i="103" s="1"/>
  <c r="BF60" i="103" s="1"/>
  <c r="AP60" i="103"/>
  <c r="BD65" i="103"/>
  <c r="BF65" i="103" s="1"/>
  <c r="BF75" i="103"/>
  <c r="BD81" i="103"/>
  <c r="BF81" i="103" s="1"/>
  <c r="BB104" i="103"/>
  <c r="BD104" i="103" s="1"/>
  <c r="BF104" i="103" s="1"/>
  <c r="BD105" i="103"/>
  <c r="BF105" i="103" s="1"/>
  <c r="BF111" i="103"/>
  <c r="AZ116" i="103"/>
  <c r="AZ16" i="103" s="1"/>
  <c r="BF121" i="103"/>
  <c r="BH15" i="103"/>
  <c r="AP45" i="103"/>
  <c r="BD51" i="103"/>
  <c r="BF51" i="103" s="1"/>
  <c r="BD59" i="103"/>
  <c r="BF59" i="103" s="1"/>
  <c r="BD61" i="103"/>
  <c r="BF61" i="103" s="1"/>
  <c r="BF83" i="103"/>
  <c r="BF89" i="103"/>
  <c r="BF97" i="103"/>
  <c r="AP107" i="103"/>
  <c r="BB107" i="103"/>
  <c r="BD107" i="103" s="1"/>
  <c r="BF107" i="103" s="1"/>
  <c r="BF108" i="103"/>
  <c r="BF110" i="103"/>
  <c r="A120" i="103"/>
  <c r="BH119" i="103"/>
  <c r="X39" i="103"/>
  <c r="AP46" i="103"/>
  <c r="BD47" i="103"/>
  <c r="BF47" i="103" s="1"/>
  <c r="AZ66" i="103"/>
  <c r="BD66" i="103" s="1"/>
  <c r="BF66" i="103" s="1"/>
  <c r="AP66" i="103"/>
  <c r="AZ71" i="103"/>
  <c r="BD71" i="103" s="1"/>
  <c r="BF71" i="103" s="1"/>
  <c r="AP71" i="103"/>
  <c r="AZ74" i="103"/>
  <c r="BD74" i="103" s="1"/>
  <c r="BF74" i="103" s="1"/>
  <c r="AP74" i="103"/>
  <c r="AZ79" i="103"/>
  <c r="AP79" i="103"/>
  <c r="BD91" i="103"/>
  <c r="BF91" i="103" s="1"/>
  <c r="BD99" i="103"/>
  <c r="BF99" i="103" s="1"/>
  <c r="A17" i="104"/>
  <c r="BJ16" i="104"/>
  <c r="AP43" i="103"/>
  <c r="AP51" i="103"/>
  <c r="AP59" i="103"/>
  <c r="X63" i="103"/>
  <c r="AP67" i="103"/>
  <c r="X71" i="103"/>
  <c r="AP75" i="103"/>
  <c r="X79" i="103"/>
  <c r="AP83" i="103"/>
  <c r="X87" i="103"/>
  <c r="AP91" i="103"/>
  <c r="X95" i="103"/>
  <c r="AP99" i="103"/>
  <c r="AN109" i="103"/>
  <c r="BB109" i="103" s="1"/>
  <c r="BD109" i="103" s="1"/>
  <c r="BF109" i="103" s="1"/>
  <c r="AP112" i="103"/>
  <c r="BH118" i="103"/>
  <c r="AP120" i="103"/>
  <c r="AL126" i="103"/>
  <c r="AZ126" i="103" s="1"/>
  <c r="AP127" i="103"/>
  <c r="X129" i="103"/>
  <c r="Z21" i="104"/>
  <c r="AR21" i="104"/>
  <c r="BD21" i="104"/>
  <c r="BF21" i="104" s="1"/>
  <c r="BF22" i="104"/>
  <c r="AL26" i="104"/>
  <c r="AL12" i="104" s="1"/>
  <c r="BD30" i="104"/>
  <c r="BD26" i="104" s="1"/>
  <c r="BD12" i="104" s="1"/>
  <c r="AZ35" i="104"/>
  <c r="AR35" i="104"/>
  <c r="BD38" i="104"/>
  <c r="BD34" i="104" s="1"/>
  <c r="BD13" i="104" s="1"/>
  <c r="BB44" i="104"/>
  <c r="BB48" i="104"/>
  <c r="BF48" i="104" s="1"/>
  <c r="BH48" i="104" s="1"/>
  <c r="AR48" i="104"/>
  <c r="BF54" i="104"/>
  <c r="BH54" i="104" s="1"/>
  <c r="BB56" i="104"/>
  <c r="BF56" i="104" s="1"/>
  <c r="BH56" i="104" s="1"/>
  <c r="AR56" i="104"/>
  <c r="BF59" i="104"/>
  <c r="BH59" i="104" s="1"/>
  <c r="BB64" i="104"/>
  <c r="BF64" i="104" s="1"/>
  <c r="BH64" i="104" s="1"/>
  <c r="AR64" i="104"/>
  <c r="BH79" i="104"/>
  <c r="BH80" i="104"/>
  <c r="BH95" i="104"/>
  <c r="X118" i="103"/>
  <c r="L17" i="104"/>
  <c r="L23" i="104" s="1"/>
  <c r="AN34" i="104"/>
  <c r="AN13" i="104" s="1"/>
  <c r="AL42" i="104"/>
  <c r="AL14" i="104" s="1"/>
  <c r="BF50" i="104"/>
  <c r="BH50" i="104" s="1"/>
  <c r="BF89" i="104"/>
  <c r="BH89" i="104" s="1"/>
  <c r="BH92" i="104"/>
  <c r="AJ102" i="103"/>
  <c r="AJ15" i="103" s="1"/>
  <c r="X17" i="104"/>
  <c r="X23" i="104" s="1"/>
  <c r="AZ39" i="104"/>
  <c r="BF39" i="104" s="1"/>
  <c r="BH39" i="104" s="1"/>
  <c r="AR39" i="104"/>
  <c r="BH58" i="104"/>
  <c r="BH66" i="104"/>
  <c r="BH76" i="104"/>
  <c r="BH103" i="103"/>
  <c r="BB124" i="103"/>
  <c r="BB20" i="103" s="1"/>
  <c r="AP128" i="103"/>
  <c r="AP129" i="103"/>
  <c r="AV17" i="104"/>
  <c r="AV23" i="104" s="1"/>
  <c r="BH31" i="104"/>
  <c r="BB34" i="104"/>
  <c r="BB13" i="104" s="1"/>
  <c r="BF36" i="104"/>
  <c r="BH36" i="104" s="1"/>
  <c r="AR52" i="104"/>
  <c r="BB52" i="104"/>
  <c r="BF52" i="104" s="1"/>
  <c r="BH52" i="104" s="1"/>
  <c r="X67" i="103"/>
  <c r="X75" i="103"/>
  <c r="X83" i="103"/>
  <c r="X91" i="103"/>
  <c r="X99" i="103"/>
  <c r="AP108" i="103"/>
  <c r="X112" i="103"/>
  <c r="X102" i="103" s="1"/>
  <c r="AP113" i="103"/>
  <c r="X117" i="103"/>
  <c r="AP118" i="103"/>
  <c r="AN124" i="103"/>
  <c r="AN20" i="103" s="1"/>
  <c r="BD42" i="104"/>
  <c r="BD14" i="104" s="1"/>
  <c r="AR44" i="104"/>
  <c r="BF46" i="104"/>
  <c r="BH46" i="104" s="1"/>
  <c r="AR60" i="104"/>
  <c r="BB60" i="104"/>
  <c r="AP68" i="103"/>
  <c r="AP76" i="103"/>
  <c r="AP84" i="103"/>
  <c r="AP92" i="103"/>
  <c r="V102" i="103"/>
  <c r="V15" i="103" s="1"/>
  <c r="X15" i="103" s="1"/>
  <c r="AP103" i="103"/>
  <c r="AJ117" i="103"/>
  <c r="AP122" i="103"/>
  <c r="AD17" i="104"/>
  <c r="AD23" i="104" s="1"/>
  <c r="AZ27" i="104"/>
  <c r="BJ35" i="104"/>
  <c r="AL38" i="104"/>
  <c r="AL34" i="104" s="1"/>
  <c r="AL13" i="104" s="1"/>
  <c r="AR13" i="104" s="1"/>
  <c r="Z38" i="104"/>
  <c r="AZ43" i="104"/>
  <c r="AR49" i="104"/>
  <c r="BB49" i="104"/>
  <c r="AR57" i="104"/>
  <c r="BB57" i="104"/>
  <c r="BF57" i="104" s="1"/>
  <c r="BH57" i="104" s="1"/>
  <c r="BF62" i="104"/>
  <c r="BH62" i="104" s="1"/>
  <c r="AR65" i="104"/>
  <c r="BB65" i="104"/>
  <c r="BF65" i="104" s="1"/>
  <c r="BH65" i="104" s="1"/>
  <c r="BH68" i="104"/>
  <c r="BH71" i="104"/>
  <c r="BH72" i="104"/>
  <c r="AP65" i="103"/>
  <c r="AP73" i="103"/>
  <c r="AP81" i="103"/>
  <c r="AP89" i="103"/>
  <c r="AP97" i="103"/>
  <c r="AP105" i="103"/>
  <c r="AP110" i="103"/>
  <c r="AZ125" i="103"/>
  <c r="H17" i="104"/>
  <c r="H23" i="104" s="1"/>
  <c r="Z45" i="104"/>
  <c r="AN45" i="104"/>
  <c r="BF49" i="104"/>
  <c r="BH49" i="104" s="1"/>
  <c r="BF60" i="104"/>
  <c r="BH60" i="104" s="1"/>
  <c r="BH63" i="104"/>
  <c r="BF75" i="104"/>
  <c r="BH75" i="104" s="1"/>
  <c r="BH84" i="104"/>
  <c r="X124" i="103"/>
  <c r="BD126" i="103"/>
  <c r="Z29" i="104"/>
  <c r="Z26" i="104" s="1"/>
  <c r="T26" i="104"/>
  <c r="T12" i="104" s="1"/>
  <c r="AL29" i="104"/>
  <c r="A37" i="104"/>
  <c r="BJ36" i="104"/>
  <c r="BH47" i="104"/>
  <c r="BH51" i="104"/>
  <c r="BH55" i="104"/>
  <c r="BH73" i="104"/>
  <c r="AJ124" i="103"/>
  <c r="AJ20" i="103" s="1"/>
  <c r="AP126" i="103"/>
  <c r="AP124" i="103" s="1"/>
  <c r="AR22" i="104"/>
  <c r="AP26" i="104"/>
  <c r="AP12" i="104" s="1"/>
  <c r="A28" i="104"/>
  <c r="Z39" i="104"/>
  <c r="V42" i="104"/>
  <c r="V14" i="104" s="1"/>
  <c r="V17" i="104" s="1"/>
  <c r="V23" i="104" s="1"/>
  <c r="AP42" i="104"/>
  <c r="AP14" i="104" s="1"/>
  <c r="A44" i="104"/>
  <c r="AR46" i="104"/>
  <c r="AR62" i="104"/>
  <c r="AR74" i="104"/>
  <c r="AR75" i="104"/>
  <c r="AN77" i="104"/>
  <c r="Z77" i="104"/>
  <c r="AR88" i="104"/>
  <c r="AR92" i="104"/>
  <c r="BF97" i="104"/>
  <c r="BH97" i="104" s="1"/>
  <c r="BD112" i="104"/>
  <c r="BF112" i="104" s="1"/>
  <c r="AR112" i="104"/>
  <c r="BD115" i="104"/>
  <c r="BD16" i="104" s="1"/>
  <c r="AZ118" i="104"/>
  <c r="BF118" i="104" s="1"/>
  <c r="BH118" i="104" s="1"/>
  <c r="AR118" i="104"/>
  <c r="AR51" i="104"/>
  <c r="AN53" i="104"/>
  <c r="AR59" i="104"/>
  <c r="AN61" i="104"/>
  <c r="AR71" i="104"/>
  <c r="AZ78" i="104"/>
  <c r="BF78" i="104" s="1"/>
  <c r="BH78" i="104" s="1"/>
  <c r="AR78" i="104"/>
  <c r="BF87" i="104"/>
  <c r="BH87" i="104" s="1"/>
  <c r="BH110" i="104"/>
  <c r="A127" i="104"/>
  <c r="BJ126" i="104"/>
  <c r="BH127" i="104"/>
  <c r="BH74" i="104"/>
  <c r="BH104" i="104"/>
  <c r="BF107" i="104"/>
  <c r="BH107" i="104" s="1"/>
  <c r="AZ120" i="104"/>
  <c r="BF120" i="104" s="1"/>
  <c r="BH120" i="104" s="1"/>
  <c r="AR120" i="104"/>
  <c r="BH126" i="104"/>
  <c r="BH22" i="104" s="1"/>
  <c r="Z49" i="104"/>
  <c r="Z57" i="104"/>
  <c r="Z65" i="104"/>
  <c r="AR66" i="104"/>
  <c r="AN69" i="104"/>
  <c r="Z69" i="104"/>
  <c r="AN85" i="104"/>
  <c r="Z85" i="104"/>
  <c r="BH88" i="104"/>
  <c r="AN93" i="104"/>
  <c r="Z93" i="104"/>
  <c r="BF94" i="104"/>
  <c r="BH94" i="104" s="1"/>
  <c r="BH106" i="104"/>
  <c r="Z35" i="104"/>
  <c r="AR50" i="104"/>
  <c r="AR58" i="104"/>
  <c r="AZ67" i="104"/>
  <c r="BF67" i="104" s="1"/>
  <c r="BH67" i="104" s="1"/>
  <c r="AR76" i="104"/>
  <c r="AR79" i="104"/>
  <c r="AR80" i="104"/>
  <c r="AZ86" i="104"/>
  <c r="AN94" i="104"/>
  <c r="BB94" i="104" s="1"/>
  <c r="AR99" i="104"/>
  <c r="BF109" i="104"/>
  <c r="BH109" i="104" s="1"/>
  <c r="AZ70" i="104"/>
  <c r="BF70" i="104" s="1"/>
  <c r="BH70" i="104" s="1"/>
  <c r="AR70" i="104"/>
  <c r="BF82" i="104"/>
  <c r="BH82" i="104" s="1"/>
  <c r="AZ83" i="104"/>
  <c r="BF83" i="104" s="1"/>
  <c r="BH83" i="104" s="1"/>
  <c r="AN86" i="104"/>
  <c r="BB86" i="104" s="1"/>
  <c r="AR90" i="104"/>
  <c r="AR91" i="104"/>
  <c r="BH96" i="104"/>
  <c r="BF108" i="104"/>
  <c r="BH108" i="104" s="1"/>
  <c r="AZ123" i="104"/>
  <c r="BF128" i="104"/>
  <c r="BH128" i="104" s="1"/>
  <c r="BH81" i="104"/>
  <c r="BB98" i="104"/>
  <c r="BF98" i="104" s="1"/>
  <c r="BH98" i="104" s="1"/>
  <c r="AR98" i="104"/>
  <c r="BF99" i="104"/>
  <c r="BH99" i="104" s="1"/>
  <c r="BF105" i="104"/>
  <c r="BH105" i="104" s="1"/>
  <c r="BD107" i="104"/>
  <c r="BD102" i="104" s="1"/>
  <c r="BD15" i="104" s="1"/>
  <c r="AR107" i="104"/>
  <c r="BH125" i="104"/>
  <c r="BH21" i="104" s="1"/>
  <c r="A13" i="84"/>
  <c r="Q12" i="84"/>
  <c r="AR84" i="104"/>
  <c r="BF90" i="104"/>
  <c r="BH90" i="104" s="1"/>
  <c r="BF91" i="104"/>
  <c r="BH91" i="104" s="1"/>
  <c r="AN97" i="104"/>
  <c r="BB97" i="104" s="1"/>
  <c r="Z97" i="104"/>
  <c r="BH119" i="104"/>
  <c r="AR73" i="104"/>
  <c r="AR81" i="104"/>
  <c r="AR89" i="104"/>
  <c r="AR97" i="104"/>
  <c r="AZ103" i="104"/>
  <c r="AP105" i="104"/>
  <c r="BD105" i="104" s="1"/>
  <c r="A106" i="104"/>
  <c r="AR108" i="104"/>
  <c r="AZ111" i="104"/>
  <c r="BF111" i="104" s="1"/>
  <c r="AZ116" i="104"/>
  <c r="Z117" i="104"/>
  <c r="Z115" i="104" s="1"/>
  <c r="A119" i="104"/>
  <c r="BB124" i="104"/>
  <c r="BB123" i="104" s="1"/>
  <c r="BJ125" i="104"/>
  <c r="L16" i="84"/>
  <c r="L24" i="84"/>
  <c r="L27" i="84"/>
  <c r="K23" i="85"/>
  <c r="F27" i="85" s="1"/>
  <c r="F30" i="85" s="1"/>
  <c r="F32" i="85" s="1"/>
  <c r="A28" i="85"/>
  <c r="N27" i="85"/>
  <c r="A52" i="85"/>
  <c r="A39" i="86"/>
  <c r="K38" i="86"/>
  <c r="A39" i="87"/>
  <c r="G39" i="87" s="1"/>
  <c r="G38" i="87"/>
  <c r="AR94" i="104"/>
  <c r="AR105" i="104"/>
  <c r="AR102" i="104" s="1"/>
  <c r="AL117" i="104"/>
  <c r="L11" i="84"/>
  <c r="L36" i="84"/>
  <c r="L37" i="84"/>
  <c r="A20" i="87"/>
  <c r="G19" i="87"/>
  <c r="A16" i="88"/>
  <c r="F16" i="88" s="1"/>
  <c r="F15" i="88"/>
  <c r="E24" i="89"/>
  <c r="D24" i="89"/>
  <c r="A17" i="86"/>
  <c r="K17" i="86" s="1"/>
  <c r="K16" i="86"/>
  <c r="F17" i="87"/>
  <c r="C28" i="87" s="1"/>
  <c r="C36" i="87" s="1"/>
  <c r="A34" i="89"/>
  <c r="K33" i="89"/>
  <c r="F34" i="89"/>
  <c r="I48" i="89"/>
  <c r="AL102" i="104"/>
  <c r="AL15" i="104" s="1"/>
  <c r="AR104" i="104"/>
  <c r="Z108" i="104"/>
  <c r="Z102" i="104" s="1"/>
  <c r="AL123" i="104"/>
  <c r="AL20" i="104" s="1"/>
  <c r="L12" i="84"/>
  <c r="L20" i="84"/>
  <c r="A8" i="85"/>
  <c r="N7" i="85"/>
  <c r="A17" i="89"/>
  <c r="K15" i="89"/>
  <c r="F24" i="89"/>
  <c r="J48" i="89"/>
  <c r="AR109" i="104"/>
  <c r="Z118" i="104"/>
  <c r="AR121" i="104"/>
  <c r="L15" i="84"/>
  <c r="L23" i="84"/>
  <c r="L26" i="84"/>
  <c r="N6" i="85"/>
  <c r="K21" i="86"/>
  <c r="K46" i="86"/>
  <c r="A47" i="86"/>
  <c r="D32" i="87"/>
  <c r="A32" i="87"/>
  <c r="G31" i="87"/>
  <c r="D36" i="87"/>
  <c r="I40" i="106"/>
  <c r="AP102" i="104"/>
  <c r="AP15" i="104" s="1"/>
  <c r="AR106" i="104"/>
  <c r="AP115" i="104"/>
  <c r="AP16" i="104" s="1"/>
  <c r="AR119" i="104"/>
  <c r="AR124" i="104"/>
  <c r="AR123" i="104" s="1"/>
  <c r="AR126" i="104"/>
  <c r="AR128" i="104"/>
  <c r="K10" i="84"/>
  <c r="Q11" i="84"/>
  <c r="F10" i="86"/>
  <c r="D45" i="92" s="1"/>
  <c r="F45" i="92" s="1"/>
  <c r="A23" i="86"/>
  <c r="K22" i="86"/>
  <c r="H50" i="89"/>
  <c r="G51" i="89"/>
  <c r="K32" i="86"/>
  <c r="F36" i="89"/>
  <c r="G9" i="87"/>
  <c r="D31" i="87"/>
  <c r="D38" i="87"/>
  <c r="F14" i="88"/>
  <c r="H49" i="89"/>
  <c r="I49" i="89" s="1"/>
  <c r="F7" i="90"/>
  <c r="A23" i="91"/>
  <c r="G23" i="91" s="1"/>
  <c r="G22" i="91"/>
  <c r="N15" i="105"/>
  <c r="A10" i="87"/>
  <c r="G10" i="87" s="1"/>
  <c r="F15" i="89"/>
  <c r="F22" i="89"/>
  <c r="E47" i="89"/>
  <c r="E48" i="89" s="1"/>
  <c r="E49" i="89" s="1"/>
  <c r="E50" i="89" s="1"/>
  <c r="E51" i="89" s="1"/>
  <c r="E52" i="89" s="1"/>
  <c r="E53" i="89" s="1"/>
  <c r="E54" i="89" s="1"/>
  <c r="E55" i="89" s="1"/>
  <c r="E56" i="89" s="1"/>
  <c r="E57" i="89" s="1"/>
  <c r="E58" i="89" s="1"/>
  <c r="A8" i="90"/>
  <c r="A13" i="92"/>
  <c r="I12" i="92"/>
  <c r="A12" i="93"/>
  <c r="F12" i="93" s="1"/>
  <c r="F11" i="93"/>
  <c r="A19" i="105"/>
  <c r="N17" i="105"/>
  <c r="G54" i="106"/>
  <c r="I50" i="89"/>
  <c r="D12" i="93"/>
  <c r="I26" i="106"/>
  <c r="I45" i="106"/>
  <c r="I51" i="106" s="1"/>
  <c r="N49" i="85"/>
  <c r="K20" i="86"/>
  <c r="K31" i="86"/>
  <c r="K45" i="86"/>
  <c r="K32" i="89"/>
  <c r="I24" i="106"/>
  <c r="I42" i="106" s="1"/>
  <c r="K37" i="86"/>
  <c r="G18" i="87"/>
  <c r="G30" i="87"/>
  <c r="G37" i="87"/>
  <c r="K9" i="89"/>
  <c r="K14" i="89"/>
  <c r="F23" i="89"/>
  <c r="D7" i="93"/>
  <c r="A7" i="93"/>
  <c r="F7" i="93" s="1"/>
  <c r="F6" i="93"/>
  <c r="K47" i="89"/>
  <c r="A39" i="92"/>
  <c r="I38" i="92"/>
  <c r="H31" i="105"/>
  <c r="A20" i="106"/>
  <c r="N18" i="106"/>
  <c r="I28" i="106"/>
  <c r="I32" i="106" s="1"/>
  <c r="E54" i="106"/>
  <c r="A49" i="89"/>
  <c r="K48" i="89"/>
  <c r="A11" i="94"/>
  <c r="N14" i="106"/>
  <c r="N13" i="105"/>
  <c r="D42" i="106"/>
  <c r="D120" i="5" l="1"/>
  <c r="C37" i="87"/>
  <c r="C38" i="87" s="1"/>
  <c r="D47" i="1"/>
  <c r="D37" i="1"/>
  <c r="I54" i="106"/>
  <c r="L12" i="106"/>
  <c r="L14" i="106"/>
  <c r="K12" i="106"/>
  <c r="K14" i="106"/>
  <c r="BD17" i="104"/>
  <c r="BD23" i="104" s="1"/>
  <c r="L40" i="106"/>
  <c r="K40" i="106"/>
  <c r="BD102" i="103"/>
  <c r="BF103" i="103"/>
  <c r="BF102" i="103" s="1"/>
  <c r="BF15" i="103" s="1"/>
  <c r="G50" i="82"/>
  <c r="F52" i="82"/>
  <c r="A52" i="82"/>
  <c r="G52" i="82" s="1"/>
  <c r="A38" i="103"/>
  <c r="BH37" i="103"/>
  <c r="A99" i="80"/>
  <c r="N98" i="80"/>
  <c r="A114" i="80"/>
  <c r="N113" i="80"/>
  <c r="A17" i="5"/>
  <c r="L16" i="5"/>
  <c r="A47" i="5"/>
  <c r="L46" i="5"/>
  <c r="A22" i="72"/>
  <c r="J21" i="72"/>
  <c r="G14" i="92"/>
  <c r="A14" i="92"/>
  <c r="I13" i="92"/>
  <c r="A36" i="89"/>
  <c r="K34" i="89"/>
  <c r="A128" i="104"/>
  <c r="BJ128" i="104" s="1"/>
  <c r="BJ127" i="104"/>
  <c r="AP17" i="104"/>
  <c r="AP23" i="104" s="1"/>
  <c r="AL124" i="103"/>
  <c r="AL20" i="103" s="1"/>
  <c r="BF30" i="104"/>
  <c r="BH30" i="104" s="1"/>
  <c r="A30" i="103"/>
  <c r="BH29" i="103"/>
  <c r="BD26" i="103"/>
  <c r="BF27" i="103"/>
  <c r="BF26" i="103" s="1"/>
  <c r="BF12" i="103" s="1"/>
  <c r="A58" i="83"/>
  <c r="K57" i="83"/>
  <c r="K121" i="77"/>
  <c r="K120" i="77"/>
  <c r="K119" i="77"/>
  <c r="K118" i="77"/>
  <c r="K117" i="77"/>
  <c r="K116" i="77"/>
  <c r="K115" i="77"/>
  <c r="K114" i="77"/>
  <c r="K113" i="77"/>
  <c r="K112" i="77"/>
  <c r="K111" i="77"/>
  <c r="K110" i="77"/>
  <c r="E113" i="77"/>
  <c r="D130" i="1"/>
  <c r="E84" i="47"/>
  <c r="M15" i="78"/>
  <c r="H15" i="78"/>
  <c r="J15" i="78"/>
  <c r="A18" i="73"/>
  <c r="R17" i="73"/>
  <c r="H13" i="78"/>
  <c r="H21" i="78" s="1"/>
  <c r="M13" i="78"/>
  <c r="M21" i="78" s="1"/>
  <c r="N21" i="78" s="1"/>
  <c r="G127" i="1"/>
  <c r="F82" i="47"/>
  <c r="A128" i="1"/>
  <c r="R67" i="73"/>
  <c r="A68" i="73"/>
  <c r="H10" i="47"/>
  <c r="A13" i="47"/>
  <c r="E91" i="75"/>
  <c r="Q17" i="102"/>
  <c r="A18" i="102"/>
  <c r="Q18" i="102" s="1"/>
  <c r="A11" i="68"/>
  <c r="G10" i="68"/>
  <c r="A120" i="104"/>
  <c r="BJ120" i="104" s="1"/>
  <c r="BJ119" i="104"/>
  <c r="A14" i="82"/>
  <c r="G13" i="82"/>
  <c r="A46" i="103"/>
  <c r="BH45" i="103"/>
  <c r="A42" i="79"/>
  <c r="J41" i="79"/>
  <c r="K49" i="89"/>
  <c r="A50" i="89"/>
  <c r="A40" i="92"/>
  <c r="I39" i="92"/>
  <c r="A9" i="90"/>
  <c r="F8" i="90"/>
  <c r="A22" i="89"/>
  <c r="K17" i="89"/>
  <c r="AR15" i="104"/>
  <c r="A21" i="87"/>
  <c r="G20" i="87"/>
  <c r="BF116" i="104"/>
  <c r="AR86" i="104"/>
  <c r="BB93" i="104"/>
  <c r="BF93" i="104" s="1"/>
  <c r="BH93" i="104" s="1"/>
  <c r="AR93" i="104"/>
  <c r="BB53" i="104"/>
  <c r="BF53" i="104" s="1"/>
  <c r="BH53" i="104" s="1"/>
  <c r="AR53" i="104"/>
  <c r="AZ124" i="103"/>
  <c r="AZ20" i="103" s="1"/>
  <c r="BD20" i="103" s="1"/>
  <c r="BD125" i="103"/>
  <c r="BD124" i="103" s="1"/>
  <c r="BF27" i="104"/>
  <c r="AZ26" i="104"/>
  <c r="AZ12" i="104" s="1"/>
  <c r="BF35" i="104"/>
  <c r="AN102" i="103"/>
  <c r="AN15" i="103" s="1"/>
  <c r="AN17" i="103" s="1"/>
  <c r="AN23" i="103" s="1"/>
  <c r="AX42" i="103"/>
  <c r="AX14" i="103" s="1"/>
  <c r="BD14" i="103" s="1"/>
  <c r="A19" i="103"/>
  <c r="BH17" i="103"/>
  <c r="A16" i="78"/>
  <c r="Q15" i="78"/>
  <c r="L121" i="77"/>
  <c r="L120" i="77"/>
  <c r="L119" i="77"/>
  <c r="L118" i="77"/>
  <c r="L117" i="77"/>
  <c r="L116" i="77"/>
  <c r="L115" i="77"/>
  <c r="L114" i="77"/>
  <c r="L113" i="77"/>
  <c r="L112" i="77"/>
  <c r="L111" i="77"/>
  <c r="L110" i="77"/>
  <c r="F144" i="80"/>
  <c r="F163" i="80" s="1"/>
  <c r="A36" i="80"/>
  <c r="N35" i="80"/>
  <c r="J121" i="77"/>
  <c r="J120" i="77"/>
  <c r="J119" i="77"/>
  <c r="J118" i="77"/>
  <c r="J117" i="77"/>
  <c r="J116" i="77"/>
  <c r="J115" i="77"/>
  <c r="J114" i="77"/>
  <c r="J113" i="77"/>
  <c r="J112" i="77"/>
  <c r="J111" i="77"/>
  <c r="J110" i="77"/>
  <c r="A17" i="76"/>
  <c r="R16" i="76"/>
  <c r="A56" i="75"/>
  <c r="J55" i="75"/>
  <c r="G15" i="2"/>
  <c r="A16" i="2"/>
  <c r="M17" i="78"/>
  <c r="H17" i="78"/>
  <c r="J17" i="78" s="1"/>
  <c r="E17" i="2"/>
  <c r="A24" i="86"/>
  <c r="K23" i="86"/>
  <c r="G32" i="87"/>
  <c r="D39" i="87"/>
  <c r="A14" i="84"/>
  <c r="Q13" i="84"/>
  <c r="BF86" i="104"/>
  <c r="BH86" i="104" s="1"/>
  <c r="Z34" i="104"/>
  <c r="A38" i="104"/>
  <c r="BJ37" i="104"/>
  <c r="Z14" i="104"/>
  <c r="R17" i="103"/>
  <c r="R23" i="103" s="1"/>
  <c r="X12" i="103"/>
  <c r="X17" i="103" s="1"/>
  <c r="X23" i="103" s="1"/>
  <c r="BF43" i="103"/>
  <c r="BF42" i="103" s="1"/>
  <c r="BF14" i="103" s="1"/>
  <c r="BD42" i="103"/>
  <c r="V17" i="103"/>
  <c r="V23" i="103" s="1"/>
  <c r="BB42" i="103"/>
  <c r="BB14" i="103" s="1"/>
  <c r="BB26" i="103"/>
  <c r="BB12" i="103" s="1"/>
  <c r="BB17" i="103" s="1"/>
  <c r="BB23" i="103" s="1"/>
  <c r="O121" i="77"/>
  <c r="O120" i="77"/>
  <c r="O119" i="77"/>
  <c r="O118" i="77"/>
  <c r="O117" i="77"/>
  <c r="O116" i="77"/>
  <c r="O115" i="77"/>
  <c r="O114" i="77"/>
  <c r="O113" i="77"/>
  <c r="O112" i="77"/>
  <c r="O111" i="77"/>
  <c r="O110" i="77"/>
  <c r="G160" i="80"/>
  <c r="G158" i="80"/>
  <c r="G150" i="80"/>
  <c r="G153" i="80"/>
  <c r="G156" i="80"/>
  <c r="D163" i="80"/>
  <c r="G154" i="80"/>
  <c r="G157" i="80"/>
  <c r="G149" i="80"/>
  <c r="G159" i="80"/>
  <c r="G155" i="80"/>
  <c r="G152" i="80"/>
  <c r="G151" i="80"/>
  <c r="L109" i="5"/>
  <c r="A110" i="5"/>
  <c r="G151" i="1"/>
  <c r="E157" i="1"/>
  <c r="E159" i="1"/>
  <c r="D122" i="77"/>
  <c r="E103" i="1"/>
  <c r="A103" i="1"/>
  <c r="G102" i="1"/>
  <c r="J10" i="78"/>
  <c r="C40" i="90"/>
  <c r="C44" i="90" s="1"/>
  <c r="C35" i="90"/>
  <c r="C37" i="90" s="1"/>
  <c r="D9" i="2"/>
  <c r="D11" i="2" s="1"/>
  <c r="D7" i="1"/>
  <c r="C39" i="87"/>
  <c r="D135" i="1" s="1"/>
  <c r="E89" i="47" s="1"/>
  <c r="A42" i="1"/>
  <c r="E56" i="1"/>
  <c r="G41" i="1"/>
  <c r="K42" i="71"/>
  <c r="F7" i="71"/>
  <c r="A83" i="5"/>
  <c r="L82" i="5"/>
  <c r="A11" i="71"/>
  <c r="F12" i="71" s="1"/>
  <c r="K10" i="71"/>
  <c r="A29" i="104"/>
  <c r="BJ28" i="104"/>
  <c r="A19" i="104"/>
  <c r="BJ17" i="104"/>
  <c r="BB102" i="103"/>
  <c r="BB15" i="103" s="1"/>
  <c r="E17" i="75"/>
  <c r="E55" i="75"/>
  <c r="L32" i="106"/>
  <c r="K32" i="106"/>
  <c r="A21" i="105"/>
  <c r="N19" i="105"/>
  <c r="A9" i="85"/>
  <c r="N8" i="85"/>
  <c r="A40" i="86"/>
  <c r="K39" i="86"/>
  <c r="A45" i="104"/>
  <c r="BJ44" i="104"/>
  <c r="AP20" i="103"/>
  <c r="AZ29" i="104"/>
  <c r="BF29" i="104" s="1"/>
  <c r="BH29" i="104" s="1"/>
  <c r="AR29" i="104"/>
  <c r="AR26" i="104" s="1"/>
  <c r="X116" i="103"/>
  <c r="A129" i="103"/>
  <c r="BH129" i="103" s="1"/>
  <c r="BH128" i="103"/>
  <c r="D20" i="81"/>
  <c r="A13" i="81"/>
  <c r="F12" i="81"/>
  <c r="G63" i="83"/>
  <c r="H121" i="77"/>
  <c r="P121" i="77" s="1"/>
  <c r="H120" i="77"/>
  <c r="H119" i="77"/>
  <c r="H118" i="77"/>
  <c r="H117" i="77"/>
  <c r="H116" i="77"/>
  <c r="H115" i="77"/>
  <c r="H114" i="77"/>
  <c r="P114" i="77" s="1"/>
  <c r="H113" i="77"/>
  <c r="P113" i="77" s="1"/>
  <c r="H112" i="77"/>
  <c r="P112" i="77" s="1"/>
  <c r="H111" i="77"/>
  <c r="H110" i="77"/>
  <c r="P86" i="77"/>
  <c r="P25" i="73"/>
  <c r="E7" i="47" s="1"/>
  <c r="A13" i="1"/>
  <c r="G10" i="1"/>
  <c r="A85" i="47"/>
  <c r="H84" i="47"/>
  <c r="A21" i="69"/>
  <c r="Q19" i="69"/>
  <c r="BB61" i="104"/>
  <c r="BF61" i="104" s="1"/>
  <c r="BH61" i="104" s="1"/>
  <c r="AR61" i="104"/>
  <c r="A107" i="103"/>
  <c r="BH106" i="103"/>
  <c r="A48" i="86"/>
  <c r="K47" i="86"/>
  <c r="L10" i="84"/>
  <c r="A53" i="85"/>
  <c r="N52" i="85"/>
  <c r="A107" i="104"/>
  <c r="BJ106" i="104"/>
  <c r="AR85" i="104"/>
  <c r="BB85" i="104"/>
  <c r="BF85" i="104" s="1"/>
  <c r="BH85" i="104" s="1"/>
  <c r="T17" i="104"/>
  <c r="T23" i="104" s="1"/>
  <c r="Z12" i="104"/>
  <c r="Z17" i="104" s="1"/>
  <c r="Z23" i="104" s="1"/>
  <c r="BF43" i="104"/>
  <c r="AZ42" i="104"/>
  <c r="AZ14" i="104" s="1"/>
  <c r="AJ116" i="103"/>
  <c r="AJ16" i="103" s="1"/>
  <c r="AP16" i="103" s="1"/>
  <c r="AX117" i="103"/>
  <c r="AP117" i="103"/>
  <c r="AP116" i="103" s="1"/>
  <c r="AR12" i="104"/>
  <c r="AP42" i="103"/>
  <c r="AP109" i="103"/>
  <c r="AP34" i="103"/>
  <c r="A81" i="80"/>
  <c r="N79" i="80"/>
  <c r="Q112" i="77"/>
  <c r="A113" i="77"/>
  <c r="I99" i="80"/>
  <c r="A17" i="79"/>
  <c r="J16" i="79"/>
  <c r="A136" i="80"/>
  <c r="N135" i="80"/>
  <c r="I121" i="77"/>
  <c r="I120" i="77"/>
  <c r="I119" i="77"/>
  <c r="P119" i="77" s="1"/>
  <c r="I118" i="77"/>
  <c r="I117" i="77"/>
  <c r="I116" i="77"/>
  <c r="P116" i="77" s="1"/>
  <c r="I115" i="77"/>
  <c r="I114" i="77"/>
  <c r="I113" i="77"/>
  <c r="I112" i="77"/>
  <c r="I111" i="77"/>
  <c r="P111" i="77" s="1"/>
  <c r="I110" i="77"/>
  <c r="F122" i="77"/>
  <c r="A68" i="76"/>
  <c r="R67" i="76"/>
  <c r="A42" i="73"/>
  <c r="R41" i="73"/>
  <c r="Q16" i="73"/>
  <c r="G80" i="1"/>
  <c r="A83" i="1"/>
  <c r="P120" i="77"/>
  <c r="C119" i="5"/>
  <c r="C57" i="5"/>
  <c r="P118" i="77"/>
  <c r="A27" i="71"/>
  <c r="K26" i="71"/>
  <c r="A13" i="70"/>
  <c r="H12" i="70"/>
  <c r="A28" i="2"/>
  <c r="G27" i="2"/>
  <c r="E28" i="2"/>
  <c r="A67" i="47"/>
  <c r="H66" i="47"/>
  <c r="A121" i="103"/>
  <c r="BH121" i="103" s="1"/>
  <c r="BH120" i="103"/>
  <c r="AZ117" i="104"/>
  <c r="BF117" i="104" s="1"/>
  <c r="BH117" i="104" s="1"/>
  <c r="AR117" i="104"/>
  <c r="AR115" i="104" s="1"/>
  <c r="AL115" i="104"/>
  <c r="AL16" i="104" s="1"/>
  <c r="AR16" i="104" s="1"/>
  <c r="BB45" i="104"/>
  <c r="BF45" i="104" s="1"/>
  <c r="BH45" i="104" s="1"/>
  <c r="AR45" i="104"/>
  <c r="AR42" i="104" s="1"/>
  <c r="AP102" i="103"/>
  <c r="BF44" i="104"/>
  <c r="BH44" i="104" s="1"/>
  <c r="BF124" i="103"/>
  <c r="BF20" i="103"/>
  <c r="AX36" i="103"/>
  <c r="BD36" i="103" s="1"/>
  <c r="BF36" i="103" s="1"/>
  <c r="AP36" i="103"/>
  <c r="AL42" i="103"/>
  <c r="AL14" i="103" s="1"/>
  <c r="AL17" i="103" s="1"/>
  <c r="AL23" i="103" s="1"/>
  <c r="A34" i="83"/>
  <c r="K27" i="83"/>
  <c r="AP12" i="103"/>
  <c r="BD35" i="103"/>
  <c r="AX34" i="103"/>
  <c r="AX13" i="103" s="1"/>
  <c r="BD13" i="103" s="1"/>
  <c r="A33" i="78"/>
  <c r="Q32" i="78"/>
  <c r="E122" i="77"/>
  <c r="N122" i="77"/>
  <c r="G116" i="80"/>
  <c r="C108" i="5"/>
  <c r="C44" i="5"/>
  <c r="A42" i="47"/>
  <c r="H41" i="47"/>
  <c r="F45" i="47"/>
  <c r="M122" i="77"/>
  <c r="A80" i="77"/>
  <c r="Q79" i="77"/>
  <c r="P115" i="77"/>
  <c r="A44" i="76"/>
  <c r="R43" i="76"/>
  <c r="G52" i="89"/>
  <c r="H51" i="89"/>
  <c r="I51" i="89" s="1"/>
  <c r="AP15" i="103"/>
  <c r="A22" i="106"/>
  <c r="N20" i="106"/>
  <c r="A12" i="94"/>
  <c r="F11" i="94"/>
  <c r="L24" i="106"/>
  <c r="K24" i="106"/>
  <c r="L26" i="106"/>
  <c r="K26" i="106"/>
  <c r="D12" i="94"/>
  <c r="J49" i="89"/>
  <c r="J50" i="89" s="1"/>
  <c r="J51" i="89" s="1"/>
  <c r="AR20" i="104"/>
  <c r="AZ20" i="104"/>
  <c r="BF20" i="104" s="1"/>
  <c r="A29" i="85"/>
  <c r="N28" i="85"/>
  <c r="BF103" i="104"/>
  <c r="AZ102" i="104"/>
  <c r="AZ15" i="104" s="1"/>
  <c r="BF15" i="104" s="1"/>
  <c r="BF124" i="104"/>
  <c r="AR69" i="104"/>
  <c r="BB69" i="104"/>
  <c r="BF69" i="104" s="1"/>
  <c r="BH69" i="104" s="1"/>
  <c r="BB77" i="104"/>
  <c r="BF77" i="104" s="1"/>
  <c r="BH77" i="104" s="1"/>
  <c r="AR77" i="104"/>
  <c r="Z42" i="104"/>
  <c r="AR38" i="104"/>
  <c r="AR34" i="104" s="1"/>
  <c r="AZ38" i="104"/>
  <c r="BF38" i="104" s="1"/>
  <c r="BH38" i="104" s="1"/>
  <c r="AN42" i="104"/>
  <c r="AN14" i="104" s="1"/>
  <c r="AN17" i="104" s="1"/>
  <c r="AN23" i="104" s="1"/>
  <c r="AP14" i="103"/>
  <c r="BD15" i="103"/>
  <c r="AX26" i="103"/>
  <c r="AX12" i="103" s="1"/>
  <c r="N13" i="80"/>
  <c r="A17" i="80"/>
  <c r="A58" i="80"/>
  <c r="N57" i="80"/>
  <c r="F11" i="92"/>
  <c r="G122" i="77"/>
  <c r="A92" i="75"/>
  <c r="J91" i="75"/>
  <c r="N17" i="102"/>
  <c r="E12" i="102" s="1"/>
  <c r="D13" i="102"/>
  <c r="M17" i="102"/>
  <c r="H12" i="102"/>
  <c r="D12" i="102"/>
  <c r="H13" i="102"/>
  <c r="A20" i="75"/>
  <c r="J19" i="75"/>
  <c r="P117" i="77"/>
  <c r="E32" i="89"/>
  <c r="E34" i="89" s="1"/>
  <c r="D32" i="89"/>
  <c r="D34" i="89" s="1"/>
  <c r="D36" i="89" s="1"/>
  <c r="E41" i="47"/>
  <c r="D68" i="1"/>
  <c r="D116" i="1" s="1"/>
  <c r="D66" i="1"/>
  <c r="D42" i="1"/>
  <c r="G18" i="79" l="1"/>
  <c r="G21" i="79"/>
  <c r="G13" i="79"/>
  <c r="G24" i="79"/>
  <c r="G16" i="79"/>
  <c r="G19" i="79"/>
  <c r="G22" i="79"/>
  <c r="G14" i="79"/>
  <c r="G25" i="79"/>
  <c r="E17" i="92" s="1"/>
  <c r="G17" i="79"/>
  <c r="G20" i="79"/>
  <c r="G23" i="79"/>
  <c r="G15" i="79"/>
  <c r="P21" i="78"/>
  <c r="F88" i="75"/>
  <c r="H88" i="75" s="1"/>
  <c r="F52" i="75"/>
  <c r="E138" i="80"/>
  <c r="H138" i="80" s="1"/>
  <c r="J138" i="80" s="1"/>
  <c r="E136" i="80"/>
  <c r="H136" i="80" s="1"/>
  <c r="J136" i="80" s="1"/>
  <c r="E139" i="80"/>
  <c r="H139" i="80" s="1"/>
  <c r="J139" i="80" s="1"/>
  <c r="E142" i="80"/>
  <c r="H142" i="80" s="1"/>
  <c r="J142" i="80" s="1"/>
  <c r="E140" i="80"/>
  <c r="H140" i="80" s="1"/>
  <c r="J140" i="80" s="1"/>
  <c r="E137" i="80"/>
  <c r="H137" i="80" s="1"/>
  <c r="J137" i="80" s="1"/>
  <c r="E143" i="80"/>
  <c r="H143" i="80" s="1"/>
  <c r="J143" i="80" s="1"/>
  <c r="E133" i="80"/>
  <c r="H133" i="80" s="1"/>
  <c r="J133" i="80" s="1"/>
  <c r="E135" i="80"/>
  <c r="H135" i="80" s="1"/>
  <c r="J135" i="80" s="1"/>
  <c r="F89" i="75"/>
  <c r="F53" i="75"/>
  <c r="E141" i="80"/>
  <c r="H141" i="80" s="1"/>
  <c r="J141" i="80" s="1"/>
  <c r="E134" i="80"/>
  <c r="H134" i="80" s="1"/>
  <c r="J134" i="80" s="1"/>
  <c r="E132" i="80"/>
  <c r="E155" i="80"/>
  <c r="H155" i="80" s="1"/>
  <c r="J155" i="80" s="1"/>
  <c r="E149" i="80"/>
  <c r="F54" i="75"/>
  <c r="E151" i="80"/>
  <c r="H151" i="80" s="1"/>
  <c r="J151" i="80" s="1"/>
  <c r="E158" i="80"/>
  <c r="H158" i="80" s="1"/>
  <c r="J158" i="80" s="1"/>
  <c r="E157" i="80"/>
  <c r="H157" i="80" s="1"/>
  <c r="J157" i="80" s="1"/>
  <c r="E154" i="80"/>
  <c r="H154" i="80" s="1"/>
  <c r="J154" i="80" s="1"/>
  <c r="F90" i="75"/>
  <c r="E160" i="80"/>
  <c r="H160" i="80" s="1"/>
  <c r="J160" i="80" s="1"/>
  <c r="E153" i="80"/>
  <c r="H153" i="80" s="1"/>
  <c r="J153" i="80" s="1"/>
  <c r="E156" i="80"/>
  <c r="H156" i="80" s="1"/>
  <c r="J156" i="80" s="1"/>
  <c r="E152" i="80"/>
  <c r="H152" i="80" s="1"/>
  <c r="J152" i="80" s="1"/>
  <c r="E159" i="80"/>
  <c r="H159" i="80" s="1"/>
  <c r="J159" i="80" s="1"/>
  <c r="E150" i="80"/>
  <c r="H150" i="80" s="1"/>
  <c r="J150" i="80" s="1"/>
  <c r="Q113" i="77"/>
  <c r="A114" i="77"/>
  <c r="H14" i="102"/>
  <c r="BD12" i="103"/>
  <c r="A43" i="47"/>
  <c r="H42" i="47"/>
  <c r="F43" i="47"/>
  <c r="A34" i="78"/>
  <c r="Q33" i="78"/>
  <c r="A18" i="79"/>
  <c r="J17" i="79"/>
  <c r="G62" i="83"/>
  <c r="A111" i="5"/>
  <c r="L110" i="5"/>
  <c r="AZ34" i="104"/>
  <c r="AZ13" i="104" s="1"/>
  <c r="BF13" i="104" s="1"/>
  <c r="R68" i="73"/>
  <c r="A69" i="73"/>
  <c r="G53" i="89"/>
  <c r="H52" i="89"/>
  <c r="I52" i="89" s="1"/>
  <c r="A69" i="76"/>
  <c r="Q19" i="76" s="1"/>
  <c r="R68" i="76"/>
  <c r="A137" i="80"/>
  <c r="N136" i="80"/>
  <c r="A108" i="103"/>
  <c r="BH107" i="103"/>
  <c r="N29" i="85"/>
  <c r="A30" i="85"/>
  <c r="Q18" i="76"/>
  <c r="K34" i="83"/>
  <c r="A36" i="83"/>
  <c r="AR14" i="104"/>
  <c r="A14" i="70"/>
  <c r="H13" i="70"/>
  <c r="G14" i="70"/>
  <c r="A84" i="1"/>
  <c r="G83" i="1"/>
  <c r="A108" i="104"/>
  <c r="BJ107" i="104"/>
  <c r="E23" i="89"/>
  <c r="D23" i="89"/>
  <c r="D17" i="89" s="1"/>
  <c r="D38" i="89" s="1"/>
  <c r="D158" i="1" s="1"/>
  <c r="F12" i="94"/>
  <c r="D11" i="93"/>
  <c r="D6" i="93"/>
  <c r="A45" i="76"/>
  <c r="R44" i="76"/>
  <c r="C43" i="90"/>
  <c r="A28" i="71"/>
  <c r="K27" i="71"/>
  <c r="I122" i="77"/>
  <c r="BF42" i="104"/>
  <c r="BH43" i="104"/>
  <c r="BH42" i="104" s="1"/>
  <c r="BH14" i="104" s="1"/>
  <c r="A54" i="85"/>
  <c r="N53" i="85"/>
  <c r="A23" i="105"/>
  <c r="N21" i="105"/>
  <c r="A84" i="5"/>
  <c r="L83" i="5"/>
  <c r="F70" i="47"/>
  <c r="E119" i="1"/>
  <c r="A106" i="1"/>
  <c r="G103" i="1"/>
  <c r="A17" i="2"/>
  <c r="G16" i="2"/>
  <c r="BF34" i="104"/>
  <c r="BH35" i="104"/>
  <c r="BH34" i="104" s="1"/>
  <c r="BH13" i="104" s="1"/>
  <c r="K22" i="89"/>
  <c r="A23" i="89"/>
  <c r="R18" i="73"/>
  <c r="A19" i="73"/>
  <c r="K122" i="77"/>
  <c r="A102" i="80"/>
  <c r="N102" i="80" s="1"/>
  <c r="E12" i="80"/>
  <c r="N99" i="80"/>
  <c r="H67" i="47"/>
  <c r="A68" i="47"/>
  <c r="A14" i="81"/>
  <c r="F13" i="81"/>
  <c r="A20" i="104"/>
  <c r="BJ19" i="104"/>
  <c r="BF12" i="104"/>
  <c r="A43" i="79"/>
  <c r="J42" i="79"/>
  <c r="F91" i="75"/>
  <c r="E92" i="75"/>
  <c r="F83" i="47"/>
  <c r="A129" i="1"/>
  <c r="E15" i="2" s="1"/>
  <c r="G128" i="1"/>
  <c r="A31" i="103"/>
  <c r="BH31" i="103" s="1"/>
  <c r="BH30" i="103"/>
  <c r="F38" i="89"/>
  <c r="A38" i="89"/>
  <c r="K38" i="89" s="1"/>
  <c r="K36" i="89"/>
  <c r="A48" i="5"/>
  <c r="L47" i="5"/>
  <c r="AR17" i="104"/>
  <c r="AR23" i="104" s="1"/>
  <c r="H122" i="77"/>
  <c r="M35" i="84"/>
  <c r="M37" i="84"/>
  <c r="M32" i="84"/>
  <c r="M30" i="84"/>
  <c r="M36" i="84"/>
  <c r="M31" i="84"/>
  <c r="M29" i="84"/>
  <c r="M18" i="84"/>
  <c r="M34" i="84"/>
  <c r="M26" i="84"/>
  <c r="M23" i="84"/>
  <c r="M15" i="84"/>
  <c r="M33" i="84"/>
  <c r="M20" i="84"/>
  <c r="M12" i="84"/>
  <c r="M28" i="84"/>
  <c r="M17" i="84"/>
  <c r="M25" i="84"/>
  <c r="M22" i="84"/>
  <c r="M14" i="84"/>
  <c r="M19" i="84"/>
  <c r="M11" i="84"/>
  <c r="M27" i="84"/>
  <c r="M16" i="84"/>
  <c r="M21" i="84"/>
  <c r="M13" i="84"/>
  <c r="F98" i="80"/>
  <c r="F99" i="80" s="1"/>
  <c r="F63" i="80"/>
  <c r="F64" i="80" s="1"/>
  <c r="BJ38" i="104"/>
  <c r="A39" i="104"/>
  <c r="BJ39" i="104" s="1"/>
  <c r="A25" i="86"/>
  <c r="K24" i="86"/>
  <c r="A17" i="78"/>
  <c r="Q16" i="78"/>
  <c r="BF26" i="104"/>
  <c r="BH27" i="104"/>
  <c r="BH26" i="104" s="1"/>
  <c r="BH12" i="104" s="1"/>
  <c r="AZ115" i="104"/>
  <c r="AZ16" i="104" s="1"/>
  <c r="BF16" i="104" s="1"/>
  <c r="A10" i="90"/>
  <c r="F9" i="90"/>
  <c r="A12" i="68"/>
  <c r="G11" i="68"/>
  <c r="A39" i="103"/>
  <c r="BH39" i="103" s="1"/>
  <c r="BH38" i="103"/>
  <c r="A23" i="69"/>
  <c r="Q21" i="69"/>
  <c r="A24" i="106"/>
  <c r="N22" i="106"/>
  <c r="BF35" i="103"/>
  <c r="BF34" i="103" s="1"/>
  <c r="BF13" i="103" s="1"/>
  <c r="BD34" i="103"/>
  <c r="A21" i="75"/>
  <c r="J20" i="75"/>
  <c r="E13" i="102"/>
  <c r="E14" i="102" s="1"/>
  <c r="A81" i="77"/>
  <c r="Q80" i="77"/>
  <c r="AP17" i="103"/>
  <c r="AP23" i="103" s="1"/>
  <c r="A43" i="73"/>
  <c r="Q17" i="73"/>
  <c r="R42" i="73"/>
  <c r="AL17" i="104"/>
  <c r="AL23" i="104" s="1"/>
  <c r="A49" i="86"/>
  <c r="K48" i="86"/>
  <c r="A86" i="47"/>
  <c r="H85" i="47"/>
  <c r="E18" i="75"/>
  <c r="F55" i="75"/>
  <c r="F18" i="75" s="1"/>
  <c r="E56" i="75"/>
  <c r="BJ29" i="104"/>
  <c r="A30" i="104"/>
  <c r="P110" i="77"/>
  <c r="P122" i="77" s="1"/>
  <c r="F129" i="77" s="1"/>
  <c r="F131" i="77" s="1"/>
  <c r="D129" i="1" s="1"/>
  <c r="A57" i="75"/>
  <c r="J56" i="75"/>
  <c r="A37" i="80"/>
  <c r="N36" i="80"/>
  <c r="BF115" i="104"/>
  <c r="BH116" i="104"/>
  <c r="BH115" i="104" s="1"/>
  <c r="BH16" i="104" s="1"/>
  <c r="BH46" i="103"/>
  <c r="A47" i="103"/>
  <c r="I14" i="92"/>
  <c r="A17" i="92"/>
  <c r="A18" i="5"/>
  <c r="L17" i="5"/>
  <c r="BF123" i="104"/>
  <c r="BH124" i="104"/>
  <c r="G115" i="80"/>
  <c r="C62" i="5"/>
  <c r="C63" i="5"/>
  <c r="C64" i="5"/>
  <c r="C65" i="5"/>
  <c r="C66" i="5"/>
  <c r="C58" i="5"/>
  <c r="C67" i="5"/>
  <c r="C59" i="5"/>
  <c r="C68" i="5"/>
  <c r="C60" i="5"/>
  <c r="C61" i="5"/>
  <c r="BJ45" i="104"/>
  <c r="A46" i="104"/>
  <c r="A59" i="80"/>
  <c r="N58" i="80"/>
  <c r="BF102" i="104"/>
  <c r="BH103" i="104"/>
  <c r="BH102" i="104" s="1"/>
  <c r="BH15" i="104" s="1"/>
  <c r="AJ17" i="103"/>
  <c r="AJ23" i="103" s="1"/>
  <c r="A30" i="2"/>
  <c r="G28" i="2"/>
  <c r="A82" i="80"/>
  <c r="N81" i="80"/>
  <c r="E86" i="80"/>
  <c r="I83" i="80"/>
  <c r="A41" i="86"/>
  <c r="K41" i="86" s="1"/>
  <c r="K40" i="86"/>
  <c r="G161" i="80"/>
  <c r="G163" i="80" s="1"/>
  <c r="A20" i="103"/>
  <c r="BH19" i="103"/>
  <c r="I40" i="92"/>
  <c r="A41" i="92"/>
  <c r="A14" i="47"/>
  <c r="H13" i="47"/>
  <c r="J13" i="78"/>
  <c r="J21" i="78" s="1"/>
  <c r="AZ23" i="103"/>
  <c r="J52" i="89"/>
  <c r="BD117" i="103"/>
  <c r="AX116" i="103"/>
  <c r="AX16" i="103" s="1"/>
  <c r="BD16" i="103" s="1"/>
  <c r="A45" i="1"/>
  <c r="G42" i="1"/>
  <c r="O122" i="77"/>
  <c r="A18" i="76"/>
  <c r="R17" i="76"/>
  <c r="L122" i="77"/>
  <c r="A22" i="87"/>
  <c r="G21" i="87"/>
  <c r="A51" i="89"/>
  <c r="K50" i="89"/>
  <c r="G14" i="82"/>
  <c r="A15" i="82"/>
  <c r="A59" i="83"/>
  <c r="K58" i="83"/>
  <c r="K42" i="106"/>
  <c r="A93" i="75"/>
  <c r="J92" i="75"/>
  <c r="A21" i="80"/>
  <c r="N17" i="80"/>
  <c r="BB42" i="104"/>
  <c r="BB14" i="104" s="1"/>
  <c r="BB17" i="104" s="1"/>
  <c r="BB23" i="104" s="1"/>
  <c r="E45" i="47"/>
  <c r="E67" i="47" s="1"/>
  <c r="E43" i="47"/>
  <c r="A14" i="1"/>
  <c r="G13" i="1"/>
  <c r="A10" i="85"/>
  <c r="N9" i="85"/>
  <c r="A12" i="71"/>
  <c r="K11" i="71"/>
  <c r="Q14" i="84"/>
  <c r="A15" i="84"/>
  <c r="J122" i="77"/>
  <c r="F15" i="82"/>
  <c r="A23" i="72"/>
  <c r="J22" i="72"/>
  <c r="A115" i="80"/>
  <c r="N114" i="80"/>
  <c r="F18" i="82" l="1"/>
  <c r="A18" i="82"/>
  <c r="G18" i="82" s="1"/>
  <c r="G15" i="82"/>
  <c r="A19" i="76"/>
  <c r="R18" i="76"/>
  <c r="O19" i="84"/>
  <c r="N19" i="84"/>
  <c r="P19" i="84" s="1"/>
  <c r="O36" i="84"/>
  <c r="N36" i="84"/>
  <c r="A69" i="47"/>
  <c r="H68" i="47"/>
  <c r="A24" i="89"/>
  <c r="K23" i="89"/>
  <c r="A55" i="85"/>
  <c r="N54" i="85"/>
  <c r="A138" i="80"/>
  <c r="N137" i="80"/>
  <c r="A11" i="85"/>
  <c r="N10" i="85"/>
  <c r="A22" i="80"/>
  <c r="N21" i="80"/>
  <c r="A15" i="47"/>
  <c r="H14" i="47"/>
  <c r="A47" i="104"/>
  <c r="BJ46" i="104"/>
  <c r="A50" i="86"/>
  <c r="K49" i="86"/>
  <c r="A25" i="69"/>
  <c r="Q23" i="69"/>
  <c r="BH17" i="104"/>
  <c r="O14" i="84"/>
  <c r="N14" i="84"/>
  <c r="P14" i="84" s="1"/>
  <c r="N15" i="84"/>
  <c r="P15" i="84" s="1"/>
  <c r="O15" i="84"/>
  <c r="N30" i="84"/>
  <c r="P30" i="84" s="1"/>
  <c r="O30" i="84"/>
  <c r="A44" i="79"/>
  <c r="J43" i="79"/>
  <c r="A46" i="76"/>
  <c r="R45" i="76"/>
  <c r="I88" i="75"/>
  <c r="H89" i="75"/>
  <c r="N32" i="84"/>
  <c r="O32" i="84"/>
  <c r="A35" i="78"/>
  <c r="Q34" i="78"/>
  <c r="H132" i="80"/>
  <c r="E144" i="80"/>
  <c r="A94" i="75"/>
  <c r="J93" i="75"/>
  <c r="A19" i="5"/>
  <c r="L18" i="5"/>
  <c r="J21" i="75"/>
  <c r="A22" i="75"/>
  <c r="N13" i="84"/>
  <c r="O13" i="84"/>
  <c r="O25" i="84"/>
  <c r="N25" i="84"/>
  <c r="P25" i="84" s="1"/>
  <c r="N26" i="84"/>
  <c r="P26" i="84" s="1"/>
  <c r="O26" i="84"/>
  <c r="N37" i="84"/>
  <c r="O37" i="84"/>
  <c r="A49" i="5"/>
  <c r="L48" i="5"/>
  <c r="AZ17" i="104"/>
  <c r="AZ23" i="104" s="1"/>
  <c r="A31" i="85"/>
  <c r="N30" i="85"/>
  <c r="G61" i="83"/>
  <c r="K51" i="89"/>
  <c r="A52" i="89"/>
  <c r="E57" i="75"/>
  <c r="E19" i="75"/>
  <c r="F56" i="75"/>
  <c r="O22" i="84"/>
  <c r="N22" i="84"/>
  <c r="P22" i="84" s="1"/>
  <c r="A70" i="76"/>
  <c r="Q20" i="76" s="1"/>
  <c r="R69" i="76"/>
  <c r="L111" i="5"/>
  <c r="A112" i="5"/>
  <c r="Q114" i="77"/>
  <c r="A115" i="77"/>
  <c r="A16" i="84"/>
  <c r="Q15" i="84"/>
  <c r="A15" i="1"/>
  <c r="G14" i="1"/>
  <c r="A42" i="92"/>
  <c r="I41" i="92"/>
  <c r="A23" i="87"/>
  <c r="G22" i="87"/>
  <c r="BD116" i="103"/>
  <c r="BF117" i="103"/>
  <c r="BF116" i="103" s="1"/>
  <c r="BF16" i="103" s="1"/>
  <c r="BF17" i="103" s="1"/>
  <c r="BF23" i="103" s="1"/>
  <c r="A18" i="92"/>
  <c r="I17" i="92"/>
  <c r="A38" i="80"/>
  <c r="N37" i="80"/>
  <c r="Q17" i="78"/>
  <c r="A18" i="78"/>
  <c r="O21" i="84"/>
  <c r="N21" i="84"/>
  <c r="O17" i="84"/>
  <c r="N17" i="84"/>
  <c r="P17" i="84" s="1"/>
  <c r="O34" i="84"/>
  <c r="N34" i="84"/>
  <c r="P34" i="84" s="1"/>
  <c r="N35" i="84"/>
  <c r="O35" i="84"/>
  <c r="L84" i="5"/>
  <c r="A85" i="5"/>
  <c r="G54" i="89"/>
  <c r="H53" i="89"/>
  <c r="I53" i="89" s="1"/>
  <c r="N115" i="80"/>
  <c r="A116" i="80"/>
  <c r="J53" i="89"/>
  <c r="A83" i="80"/>
  <c r="N82" i="80"/>
  <c r="Q18" i="73"/>
  <c r="A44" i="73"/>
  <c r="R43" i="73"/>
  <c r="A13" i="68"/>
  <c r="G12" i="68"/>
  <c r="O16" i="84"/>
  <c r="N16" i="84"/>
  <c r="O28" i="84"/>
  <c r="N28" i="84"/>
  <c r="P28" i="84" s="1"/>
  <c r="O18" i="84"/>
  <c r="N18" i="84"/>
  <c r="P18" i="84" s="1"/>
  <c r="F92" i="75"/>
  <c r="E93" i="75"/>
  <c r="BJ20" i="104"/>
  <c r="A21" i="104"/>
  <c r="A18" i="2"/>
  <c r="G17" i="2"/>
  <c r="E18" i="2"/>
  <c r="A29" i="71"/>
  <c r="K28" i="71"/>
  <c r="A45" i="47"/>
  <c r="H43" i="47"/>
  <c r="F16" i="75"/>
  <c r="G26" i="79"/>
  <c r="O23" i="84"/>
  <c r="N23" i="84"/>
  <c r="A130" i="1"/>
  <c r="G129" i="1"/>
  <c r="A85" i="1"/>
  <c r="G84" i="1"/>
  <c r="A60" i="83"/>
  <c r="K59" i="83"/>
  <c r="A21" i="103"/>
  <c r="BH20" i="103"/>
  <c r="G114" i="80"/>
  <c r="A58" i="75"/>
  <c r="J57" i="75"/>
  <c r="C46" i="83"/>
  <c r="A26" i="86"/>
  <c r="K25" i="86"/>
  <c r="O27" i="84"/>
  <c r="N27" i="84"/>
  <c r="P27" i="84" s="1"/>
  <c r="N12" i="84"/>
  <c r="O12" i="84"/>
  <c r="O29" i="84"/>
  <c r="N29" i="84"/>
  <c r="A20" i="73"/>
  <c r="R19" i="73"/>
  <c r="A25" i="105"/>
  <c r="N23" i="105"/>
  <c r="F23" i="79"/>
  <c r="F15" i="79"/>
  <c r="F18" i="79"/>
  <c r="F21" i="79"/>
  <c r="F13" i="79"/>
  <c r="F24" i="79"/>
  <c r="F16" i="79"/>
  <c r="F19" i="79"/>
  <c r="F22" i="79"/>
  <c r="F14" i="79"/>
  <c r="F25" i="79"/>
  <c r="D17" i="92" s="1"/>
  <c r="F17" i="79"/>
  <c r="F20" i="79"/>
  <c r="A17" i="70"/>
  <c r="H14" i="70"/>
  <c r="A109" i="103"/>
  <c r="BH108" i="103"/>
  <c r="R69" i="73"/>
  <c r="A70" i="73"/>
  <c r="BF14" i="104"/>
  <c r="BF17" i="104" s="1"/>
  <c r="BF23" i="104" s="1"/>
  <c r="BD17" i="103"/>
  <c r="BD23" i="103" s="1"/>
  <c r="A60" i="80"/>
  <c r="N59" i="80"/>
  <c r="A87" i="47"/>
  <c r="H86" i="47"/>
  <c r="N24" i="106"/>
  <c r="A26" i="106"/>
  <c r="A12" i="90"/>
  <c r="F10" i="90"/>
  <c r="O11" i="84"/>
  <c r="N11" i="84"/>
  <c r="N20" i="84"/>
  <c r="P20" i="84" s="1"/>
  <c r="O20" i="84"/>
  <c r="O31" i="84"/>
  <c r="N31" i="84"/>
  <c r="P31" i="84" s="1"/>
  <c r="A16" i="81"/>
  <c r="F14" i="81"/>
  <c r="D13" i="81"/>
  <c r="A107" i="1"/>
  <c r="E108" i="1" s="1"/>
  <c r="G106" i="1"/>
  <c r="AX17" i="103"/>
  <c r="AX23" i="103" s="1"/>
  <c r="F17" i="75"/>
  <c r="A47" i="1"/>
  <c r="G45" i="1"/>
  <c r="E47" i="1"/>
  <c r="J23" i="72"/>
  <c r="A24" i="72"/>
  <c r="J24" i="72" s="1"/>
  <c r="A14" i="71"/>
  <c r="K14" i="71" s="1"/>
  <c r="K12" i="71"/>
  <c r="F14" i="71"/>
  <c r="A48" i="103"/>
  <c r="BH47" i="103"/>
  <c r="A31" i="2"/>
  <c r="G30" i="2"/>
  <c r="BH123" i="104"/>
  <c r="BH20" i="104"/>
  <c r="BJ30" i="104"/>
  <c r="A31" i="104"/>
  <c r="BJ31" i="104" s="1"/>
  <c r="A82" i="77"/>
  <c r="Q81" i="77"/>
  <c r="N33" i="84"/>
  <c r="O33" i="84"/>
  <c r="A109" i="104"/>
  <c r="BJ108" i="104"/>
  <c r="A37" i="83"/>
  <c r="K36" i="83"/>
  <c r="A19" i="79"/>
  <c r="J18" i="79"/>
  <c r="E161" i="80"/>
  <c r="H149" i="80"/>
  <c r="H52" i="75"/>
  <c r="F15" i="75"/>
  <c r="F17" i="92" l="1"/>
  <c r="P11" i="84"/>
  <c r="N10" i="84"/>
  <c r="C21" i="90" s="1"/>
  <c r="A19" i="78"/>
  <c r="Q18" i="78"/>
  <c r="P32" i="84"/>
  <c r="A48" i="104"/>
  <c r="BJ47" i="104"/>
  <c r="I52" i="75"/>
  <c r="I15" i="75" s="1"/>
  <c r="H53" i="75"/>
  <c r="H15" i="75"/>
  <c r="P12" i="84"/>
  <c r="G113" i="80"/>
  <c r="G18" i="2"/>
  <c r="E23" i="2"/>
  <c r="P35" i="84"/>
  <c r="A95" i="75"/>
  <c r="J94" i="75"/>
  <c r="H90" i="75"/>
  <c r="I89" i="75"/>
  <c r="A88" i="47"/>
  <c r="H87" i="47"/>
  <c r="A86" i="1"/>
  <c r="G85" i="1"/>
  <c r="N31" i="85"/>
  <c r="A32" i="85"/>
  <c r="A139" i="80"/>
  <c r="N138" i="80"/>
  <c r="K37" i="83"/>
  <c r="A38" i="83"/>
  <c r="BH109" i="103"/>
  <c r="A110" i="103"/>
  <c r="A131" i="1"/>
  <c r="G130" i="1"/>
  <c r="A22" i="104"/>
  <c r="BJ21" i="104"/>
  <c r="A24" i="87"/>
  <c r="G24" i="87" s="1"/>
  <c r="G23" i="87"/>
  <c r="Q115" i="77"/>
  <c r="A116" i="77"/>
  <c r="E163" i="80"/>
  <c r="A45" i="79"/>
  <c r="J44" i="79"/>
  <c r="BH23" i="104"/>
  <c r="A16" i="47"/>
  <c r="H15" i="47"/>
  <c r="F16" i="47"/>
  <c r="A56" i="85"/>
  <c r="N55" i="85"/>
  <c r="A20" i="79"/>
  <c r="J19" i="79"/>
  <c r="A108" i="1"/>
  <c r="G107" i="1"/>
  <c r="R70" i="73"/>
  <c r="A71" i="73"/>
  <c r="A59" i="75"/>
  <c r="J58" i="75"/>
  <c r="Q19" i="73"/>
  <c r="A45" i="73"/>
  <c r="R44" i="73"/>
  <c r="A17" i="84"/>
  <c r="Q16" i="84"/>
  <c r="A47" i="76"/>
  <c r="R46" i="76"/>
  <c r="O10" i="84"/>
  <c r="N60" i="80"/>
  <c r="A62" i="80"/>
  <c r="H161" i="80"/>
  <c r="J149" i="80"/>
  <c r="A112" i="104"/>
  <c r="BJ112" i="104" s="1"/>
  <c r="A110" i="104"/>
  <c r="BJ109" i="104"/>
  <c r="A17" i="81"/>
  <c r="F16" i="81"/>
  <c r="A13" i="90"/>
  <c r="F12" i="90"/>
  <c r="A27" i="105"/>
  <c r="N25" i="105"/>
  <c r="P23" i="84"/>
  <c r="P16" i="84"/>
  <c r="E11" i="80"/>
  <c r="A86" i="80"/>
  <c r="N86" i="80" s="1"/>
  <c r="N83" i="80"/>
  <c r="A39" i="80"/>
  <c r="N38" i="80"/>
  <c r="F19" i="75"/>
  <c r="A50" i="5"/>
  <c r="L49" i="5"/>
  <c r="P13" i="84"/>
  <c r="H144" i="80"/>
  <c r="J132" i="80"/>
  <c r="A49" i="103"/>
  <c r="BH48" i="103"/>
  <c r="A18" i="70"/>
  <c r="H17" i="70"/>
  <c r="A22" i="103"/>
  <c r="BH21" i="103"/>
  <c r="F67" i="47"/>
  <c r="A46" i="47"/>
  <c r="H45" i="47"/>
  <c r="F93" i="75"/>
  <c r="E94" i="75"/>
  <c r="J54" i="89"/>
  <c r="I42" i="92"/>
  <c r="A43" i="92"/>
  <c r="G60" i="83"/>
  <c r="A23" i="75"/>
  <c r="J22" i="75"/>
  <c r="N22" i="80"/>
  <c r="A23" i="80"/>
  <c r="N23" i="80" s="1"/>
  <c r="A25" i="89"/>
  <c r="K24" i="89"/>
  <c r="A20" i="76"/>
  <c r="R19" i="76"/>
  <c r="A50" i="1"/>
  <c r="G47" i="1"/>
  <c r="A113" i="5"/>
  <c r="L112" i="5"/>
  <c r="A27" i="69"/>
  <c r="Q25" i="69"/>
  <c r="P33" i="84"/>
  <c r="A32" i="2"/>
  <c r="G31" i="2"/>
  <c r="E32" i="2"/>
  <c r="C47" i="83"/>
  <c r="D58" i="83" s="1"/>
  <c r="F26" i="79"/>
  <c r="A21" i="73"/>
  <c r="R20" i="73"/>
  <c r="K26" i="86"/>
  <c r="A27" i="86"/>
  <c r="K27" i="86" s="1"/>
  <c r="G55" i="89"/>
  <c r="H54" i="89"/>
  <c r="I54" i="89" s="1"/>
  <c r="P37" i="84"/>
  <c r="A36" i="78"/>
  <c r="Q35" i="78"/>
  <c r="A83" i="77"/>
  <c r="Q82" i="77"/>
  <c r="N26" i="106"/>
  <c r="A28" i="106"/>
  <c r="P29" i="84"/>
  <c r="D60" i="83"/>
  <c r="D66" i="83"/>
  <c r="E55" i="83"/>
  <c r="D64" i="83"/>
  <c r="D62" i="83"/>
  <c r="D61" i="83"/>
  <c r="K60" i="83"/>
  <c r="A61" i="83"/>
  <c r="A30" i="71"/>
  <c r="K29" i="71"/>
  <c r="A14" i="68"/>
  <c r="G13" i="68"/>
  <c r="A117" i="80"/>
  <c r="N116" i="80"/>
  <c r="A86" i="5"/>
  <c r="L85" i="5"/>
  <c r="P21" i="84"/>
  <c r="A19" i="92"/>
  <c r="I18" i="92"/>
  <c r="G15" i="1"/>
  <c r="A16" i="1"/>
  <c r="E16" i="1"/>
  <c r="E58" i="75"/>
  <c r="F57" i="75"/>
  <c r="F20" i="75" s="1"/>
  <c r="E20" i="75"/>
  <c r="G32" i="85"/>
  <c r="A51" i="86"/>
  <c r="K50" i="86"/>
  <c r="A12" i="85"/>
  <c r="N11" i="85"/>
  <c r="H69" i="47"/>
  <c r="A70" i="47"/>
  <c r="A71" i="76"/>
  <c r="Q21" i="76" s="1"/>
  <c r="R70" i="76"/>
  <c r="A53" i="89"/>
  <c r="K52" i="89"/>
  <c r="A20" i="5"/>
  <c r="L19" i="5"/>
  <c r="P36" i="84"/>
  <c r="A29" i="105" l="1"/>
  <c r="N27" i="105"/>
  <c r="R71" i="73"/>
  <c r="A72" i="73"/>
  <c r="A21" i="5"/>
  <c r="L20" i="5"/>
  <c r="A13" i="85"/>
  <c r="N12" i="85"/>
  <c r="D67" i="83"/>
  <c r="D57" i="83"/>
  <c r="A21" i="76"/>
  <c r="R20" i="76"/>
  <c r="A48" i="47"/>
  <c r="F49" i="47"/>
  <c r="A50" i="103"/>
  <c r="BH49" i="103"/>
  <c r="A40" i="80"/>
  <c r="N39" i="80"/>
  <c r="J161" i="80"/>
  <c r="K38" i="83"/>
  <c r="A39" i="83"/>
  <c r="K39" i="83" s="1"/>
  <c r="A49" i="104"/>
  <c r="BJ48" i="104"/>
  <c r="A24" i="75"/>
  <c r="J23" i="75"/>
  <c r="A111" i="104"/>
  <c r="BJ111" i="104" s="1"/>
  <c r="BJ110" i="104"/>
  <c r="A60" i="75"/>
  <c r="J59" i="75"/>
  <c r="A113" i="103"/>
  <c r="BH113" i="103" s="1"/>
  <c r="A111" i="103"/>
  <c r="BH110" i="103"/>
  <c r="A87" i="5"/>
  <c r="L86" i="5"/>
  <c r="J55" i="83"/>
  <c r="A19" i="1"/>
  <c r="G16" i="1"/>
  <c r="A118" i="80"/>
  <c r="N117" i="80"/>
  <c r="D59" i="83"/>
  <c r="D65" i="83"/>
  <c r="A84" i="77"/>
  <c r="Q83" i="77"/>
  <c r="A44" i="92"/>
  <c r="I43" i="92"/>
  <c r="J144" i="80"/>
  <c r="J146" i="80" s="1"/>
  <c r="L146" i="80" s="1"/>
  <c r="M146" i="80" s="1"/>
  <c r="A18" i="84"/>
  <c r="Q17" i="84"/>
  <c r="A19" i="47"/>
  <c r="H16" i="47"/>
  <c r="A89" i="47"/>
  <c r="H88" i="47"/>
  <c r="G112" i="80"/>
  <c r="A54" i="89"/>
  <c r="K53" i="89"/>
  <c r="A52" i="86"/>
  <c r="K51" i="86"/>
  <c r="D63" i="83"/>
  <c r="A22" i="73"/>
  <c r="R21" i="73"/>
  <c r="A29" i="69"/>
  <c r="Q27" i="69"/>
  <c r="A26" i="89"/>
  <c r="K26" i="89" s="1"/>
  <c r="K25" i="89"/>
  <c r="H163" i="80"/>
  <c r="H146" i="80"/>
  <c r="A14" i="90"/>
  <c r="F13" i="90"/>
  <c r="N62" i="80"/>
  <c r="E69" i="80"/>
  <c r="A63" i="80"/>
  <c r="F69" i="47"/>
  <c r="E118" i="1"/>
  <c r="A110" i="1"/>
  <c r="G108" i="1"/>
  <c r="A15" i="68"/>
  <c r="G14" i="68"/>
  <c r="A46" i="73"/>
  <c r="Q20" i="73"/>
  <c r="R45" i="73"/>
  <c r="A140" i="80"/>
  <c r="N139" i="80"/>
  <c r="L113" i="5"/>
  <c r="A114" i="5"/>
  <c r="F94" i="75"/>
  <c r="E95" i="75"/>
  <c r="A18" i="81"/>
  <c r="F17" i="81"/>
  <c r="A21" i="79"/>
  <c r="J20" i="79"/>
  <c r="A33" i="85"/>
  <c r="N32" i="85"/>
  <c r="C24" i="90"/>
  <c r="C23" i="90"/>
  <c r="A23" i="103"/>
  <c r="BH23" i="103" s="1"/>
  <c r="BH22" i="103"/>
  <c r="BJ22" i="104"/>
  <c r="A23" i="104"/>
  <c r="BJ23" i="104" s="1"/>
  <c r="H91" i="75"/>
  <c r="I90" i="75"/>
  <c r="A21" i="78"/>
  <c r="Q21" i="78" s="1"/>
  <c r="Q19" i="78"/>
  <c r="A72" i="76"/>
  <c r="R71" i="76"/>
  <c r="I19" i="92"/>
  <c r="A20" i="92"/>
  <c r="G20" i="92"/>
  <c r="E68" i="83"/>
  <c r="D24" i="1"/>
  <c r="A46" i="79"/>
  <c r="J45" i="79"/>
  <c r="A71" i="47"/>
  <c r="H70" i="47"/>
  <c r="F10" i="71"/>
  <c r="K30" i="71"/>
  <c r="F11" i="71"/>
  <c r="F6" i="71"/>
  <c r="D56" i="83"/>
  <c r="E56" i="83" s="1"/>
  <c r="E57" i="83" s="1"/>
  <c r="E58" i="83" s="1"/>
  <c r="E59" i="83" s="1"/>
  <c r="E60" i="83" s="1"/>
  <c r="E61" i="83" s="1"/>
  <c r="E62" i="83" s="1"/>
  <c r="E63" i="83" s="1"/>
  <c r="E64" i="83" s="1"/>
  <c r="E65" i="83" s="1"/>
  <c r="E66" i="83" s="1"/>
  <c r="E67" i="83" s="1"/>
  <c r="A19" i="70"/>
  <c r="H18" i="70"/>
  <c r="A51" i="5"/>
  <c r="L50" i="5"/>
  <c r="A132" i="1"/>
  <c r="G131" i="1"/>
  <c r="A96" i="75"/>
  <c r="J95" i="75"/>
  <c r="H54" i="75"/>
  <c r="H16" i="75"/>
  <c r="I53" i="75"/>
  <c r="I16" i="75" s="1"/>
  <c r="P10" i="84"/>
  <c r="H55" i="89"/>
  <c r="I55" i="89" s="1"/>
  <c r="J55" i="89" s="1"/>
  <c r="G56" i="89"/>
  <c r="A37" i="78"/>
  <c r="Q36" i="78"/>
  <c r="A62" i="83"/>
  <c r="K61" i="83"/>
  <c r="A30" i="106"/>
  <c r="N28" i="106"/>
  <c r="G50" i="1"/>
  <c r="A51" i="1"/>
  <c r="A48" i="76"/>
  <c r="R47" i="76"/>
  <c r="Q22" i="76"/>
  <c r="A57" i="85"/>
  <c r="N56" i="85"/>
  <c r="Q116" i="77"/>
  <c r="A117" i="77"/>
  <c r="F58" i="75"/>
  <c r="E59" i="75"/>
  <c r="E21" i="75"/>
  <c r="A34" i="2"/>
  <c r="G32" i="2"/>
  <c r="E34" i="2"/>
  <c r="G59" i="83"/>
  <c r="G86" i="1"/>
  <c r="A87" i="1"/>
  <c r="F86" i="47" l="1"/>
  <c r="A133" i="1"/>
  <c r="G132" i="1"/>
  <c r="A64" i="80"/>
  <c r="N63" i="80"/>
  <c r="A20" i="1"/>
  <c r="G19" i="1"/>
  <c r="A50" i="104"/>
  <c r="BJ49" i="104"/>
  <c r="BH50" i="103"/>
  <c r="A51" i="103"/>
  <c r="A14" i="85"/>
  <c r="N13" i="85"/>
  <c r="E149" i="1"/>
  <c r="G34" i="2"/>
  <c r="A53" i="86"/>
  <c r="K52" i="86"/>
  <c r="A88" i="1"/>
  <c r="G87" i="1"/>
  <c r="E88" i="1"/>
  <c r="A34" i="85"/>
  <c r="N33" i="85"/>
  <c r="A47" i="73"/>
  <c r="Q21" i="73"/>
  <c r="R46" i="73"/>
  <c r="I64" i="80"/>
  <c r="F21" i="47"/>
  <c r="A20" i="47"/>
  <c r="H19" i="47"/>
  <c r="A85" i="77"/>
  <c r="Q84" i="77"/>
  <c r="A61" i="75"/>
  <c r="J60" i="75"/>
  <c r="F59" i="75"/>
  <c r="E60" i="75"/>
  <c r="E22" i="75"/>
  <c r="A49" i="76"/>
  <c r="R48" i="76"/>
  <c r="K62" i="83"/>
  <c r="A63" i="83"/>
  <c r="H17" i="75"/>
  <c r="H55" i="75"/>
  <c r="I54" i="75"/>
  <c r="I17" i="75" s="1"/>
  <c r="A20" i="70"/>
  <c r="H19" i="70"/>
  <c r="G34" i="85"/>
  <c r="A115" i="5"/>
  <c r="L114" i="5"/>
  <c r="A55" i="89"/>
  <c r="K54" i="89"/>
  <c r="F50" i="47"/>
  <c r="A49" i="47"/>
  <c r="H48" i="47"/>
  <c r="A22" i="5"/>
  <c r="L21" i="5"/>
  <c r="F33" i="85"/>
  <c r="F34" i="85" s="1"/>
  <c r="H44" i="80"/>
  <c r="H45" i="80" s="1"/>
  <c r="E114" i="73"/>
  <c r="F114" i="73" s="1"/>
  <c r="E115" i="73"/>
  <c r="F115" i="73" s="1"/>
  <c r="E115" i="76"/>
  <c r="F115" i="76" s="1"/>
  <c r="E116" i="76"/>
  <c r="F116" i="76" s="1"/>
  <c r="D51" i="77"/>
  <c r="E51" i="77" s="1"/>
  <c r="D90" i="1"/>
  <c r="D91" i="1" s="1"/>
  <c r="D49" i="82"/>
  <c r="D50" i="82" s="1"/>
  <c r="E14" i="82"/>
  <c r="E15" i="82" s="1"/>
  <c r="H63" i="80"/>
  <c r="H64" i="80" s="1"/>
  <c r="D14" i="82"/>
  <c r="D15" i="82" s="1"/>
  <c r="E49" i="82"/>
  <c r="E50" i="82" s="1"/>
  <c r="H98" i="80"/>
  <c r="H99" i="80" s="1"/>
  <c r="H82" i="80"/>
  <c r="H83" i="80" s="1"/>
  <c r="I54" i="79"/>
  <c r="E101" i="76"/>
  <c r="F101" i="76" s="1"/>
  <c r="E102" i="76"/>
  <c r="F102" i="76" s="1"/>
  <c r="D38" i="77"/>
  <c r="E38" i="77" s="1"/>
  <c r="E100" i="73"/>
  <c r="F100" i="73" s="1"/>
  <c r="E101" i="73"/>
  <c r="F101" i="73" s="1"/>
  <c r="A23" i="92"/>
  <c r="I20" i="92"/>
  <c r="A52" i="1"/>
  <c r="G51" i="1"/>
  <c r="A47" i="79"/>
  <c r="J46" i="79"/>
  <c r="A73" i="76"/>
  <c r="Q23" i="76" s="1"/>
  <c r="R72" i="76"/>
  <c r="G15" i="68"/>
  <c r="A16" i="68"/>
  <c r="A31" i="69"/>
  <c r="Q29" i="69"/>
  <c r="G111" i="80"/>
  <c r="A19" i="84"/>
  <c r="Q18" i="84"/>
  <c r="R72" i="73"/>
  <c r="A73" i="73"/>
  <c r="A20" i="81"/>
  <c r="F20" i="81" s="1"/>
  <c r="F18" i="81"/>
  <c r="D17" i="81"/>
  <c r="A141" i="80"/>
  <c r="N140" i="80"/>
  <c r="A58" i="85"/>
  <c r="N57" i="85"/>
  <c r="F4" i="84"/>
  <c r="D125" i="1"/>
  <c r="Q117" i="77"/>
  <c r="A118" i="77"/>
  <c r="A38" i="78"/>
  <c r="Q37" i="78"/>
  <c r="J21" i="79"/>
  <c r="A22" i="79"/>
  <c r="A88" i="5"/>
  <c r="L87" i="5"/>
  <c r="A22" i="76"/>
  <c r="R21" i="76"/>
  <c r="A90" i="47"/>
  <c r="H89" i="47"/>
  <c r="A32" i="106"/>
  <c r="N30" i="106"/>
  <c r="H92" i="75"/>
  <c r="I91" i="75"/>
  <c r="F95" i="75"/>
  <c r="E96" i="75"/>
  <c r="A52" i="5"/>
  <c r="L51" i="5"/>
  <c r="F21" i="75"/>
  <c r="G58" i="83"/>
  <c r="A97" i="75"/>
  <c r="J96" i="75"/>
  <c r="H56" i="89"/>
  <c r="I56" i="89" s="1"/>
  <c r="J56" i="89" s="1"/>
  <c r="G57" i="89"/>
  <c r="A112" i="1"/>
  <c r="G110" i="1"/>
  <c r="E133" i="1"/>
  <c r="A15" i="90"/>
  <c r="F14" i="90"/>
  <c r="D15" i="90"/>
  <c r="R22" i="73"/>
  <c r="A23" i="73"/>
  <c r="A119" i="80"/>
  <c r="N118" i="80"/>
  <c r="A25" i="75"/>
  <c r="J24" i="75"/>
  <c r="A112" i="103"/>
  <c r="BH112" i="103" s="1"/>
  <c r="BH111" i="103"/>
  <c r="N40" i="80"/>
  <c r="A41" i="80"/>
  <c r="A31" i="105"/>
  <c r="N29" i="105"/>
  <c r="A45" i="92"/>
  <c r="I44" i="92"/>
  <c r="D17" i="90" l="1"/>
  <c r="A17" i="90"/>
  <c r="F15" i="90"/>
  <c r="D20" i="90"/>
  <c r="A43" i="80"/>
  <c r="N41" i="80"/>
  <c r="A120" i="80"/>
  <c r="N119" i="80"/>
  <c r="F96" i="75"/>
  <c r="E97" i="75"/>
  <c r="F91" i="47"/>
  <c r="A91" i="47"/>
  <c r="H90" i="47"/>
  <c r="Q38" i="78"/>
  <c r="A39" i="78"/>
  <c r="I60" i="79"/>
  <c r="I57" i="79"/>
  <c r="A21" i="70"/>
  <c r="H20" i="70"/>
  <c r="A86" i="77"/>
  <c r="Q85" i="77"/>
  <c r="N34" i="85"/>
  <c r="A35" i="85"/>
  <c r="A21" i="1"/>
  <c r="G20" i="1"/>
  <c r="A46" i="92"/>
  <c r="I45" i="92"/>
  <c r="A98" i="75"/>
  <c r="J97" i="75"/>
  <c r="A23" i="76"/>
  <c r="R22" i="76"/>
  <c r="G25" i="92"/>
  <c r="A24" i="92"/>
  <c r="I23" i="92"/>
  <c r="G51" i="77"/>
  <c r="F51" i="77"/>
  <c r="A56" i="89"/>
  <c r="K55" i="89"/>
  <c r="H56" i="75"/>
  <c r="H18" i="75"/>
  <c r="I55" i="75"/>
  <c r="I18" i="75" s="1"/>
  <c r="A21" i="47"/>
  <c r="H20" i="47"/>
  <c r="A15" i="85"/>
  <c r="N14" i="85"/>
  <c r="A48" i="79"/>
  <c r="J47" i="79"/>
  <c r="G101" i="73"/>
  <c r="E128" i="73" s="1"/>
  <c r="D12" i="92" s="1"/>
  <c r="D128" i="73"/>
  <c r="H101" i="73"/>
  <c r="H116" i="76"/>
  <c r="G116" i="76"/>
  <c r="A23" i="5"/>
  <c r="L22" i="5"/>
  <c r="E23" i="75"/>
  <c r="F60" i="75"/>
  <c r="F23" i="75" s="1"/>
  <c r="E61" i="75"/>
  <c r="A52" i="103"/>
  <c r="BH51" i="103"/>
  <c r="A67" i="80"/>
  <c r="N64" i="80"/>
  <c r="E10" i="80"/>
  <c r="G110" i="80"/>
  <c r="J25" i="75"/>
  <c r="A26" i="75"/>
  <c r="G57" i="83"/>
  <c r="H100" i="73"/>
  <c r="D127" i="73"/>
  <c r="D129" i="73" s="1"/>
  <c r="E8" i="47" s="1"/>
  <c r="E10" i="47" s="1"/>
  <c r="F102" i="73"/>
  <c r="G100" i="73"/>
  <c r="E18" i="82"/>
  <c r="H115" i="76"/>
  <c r="H117" i="76" s="1"/>
  <c r="G115" i="76"/>
  <c r="G117" i="76" s="1"/>
  <c r="F117" i="76"/>
  <c r="L115" i="5"/>
  <c r="A116" i="5"/>
  <c r="A64" i="83"/>
  <c r="K63" i="83"/>
  <c r="F22" i="75"/>
  <c r="A90" i="1"/>
  <c r="G88" i="1"/>
  <c r="A20" i="84"/>
  <c r="Q19" i="84"/>
  <c r="E80" i="47"/>
  <c r="A33" i="105"/>
  <c r="N31" i="105"/>
  <c r="H93" i="75"/>
  <c r="I92" i="75"/>
  <c r="A89" i="5"/>
  <c r="L88" i="5"/>
  <c r="A23" i="79"/>
  <c r="J22" i="79"/>
  <c r="R73" i="73"/>
  <c r="A74" i="73"/>
  <c r="A33" i="69"/>
  <c r="Q31" i="69"/>
  <c r="G38" i="77"/>
  <c r="F38" i="77"/>
  <c r="C61" i="77"/>
  <c r="D128" i="1" s="1"/>
  <c r="G115" i="73"/>
  <c r="H115" i="73"/>
  <c r="F71" i="47"/>
  <c r="A50" i="47"/>
  <c r="F85" i="47" s="1"/>
  <c r="A134" i="1"/>
  <c r="G133" i="1"/>
  <c r="A142" i="80"/>
  <c r="N141" i="80"/>
  <c r="H102" i="76"/>
  <c r="G102" i="76"/>
  <c r="D128" i="76"/>
  <c r="H114" i="73"/>
  <c r="H116" i="73" s="1"/>
  <c r="F116" i="73"/>
  <c r="G114" i="73"/>
  <c r="J61" i="75"/>
  <c r="A62" i="75"/>
  <c r="A54" i="86"/>
  <c r="K53" i="86"/>
  <c r="A51" i="104"/>
  <c r="BJ50" i="104"/>
  <c r="Q118" i="77"/>
  <c r="A119" i="77"/>
  <c r="A74" i="76"/>
  <c r="R73" i="76"/>
  <c r="A115" i="1"/>
  <c r="G112" i="1"/>
  <c r="E110" i="1"/>
  <c r="A34" i="106"/>
  <c r="N32" i="106"/>
  <c r="N58" i="85"/>
  <c r="A59" i="85"/>
  <c r="A19" i="68"/>
  <c r="G16" i="68"/>
  <c r="A24" i="73"/>
  <c r="R23" i="73"/>
  <c r="G58" i="89"/>
  <c r="H58" i="89" s="1"/>
  <c r="I58" i="89" s="1"/>
  <c r="H57" i="89"/>
  <c r="I57" i="89" s="1"/>
  <c r="J57" i="89" s="1"/>
  <c r="J58" i="89" s="1"/>
  <c r="J60" i="89" s="1"/>
  <c r="E9" i="89" s="1"/>
  <c r="A53" i="5"/>
  <c r="L52" i="5"/>
  <c r="A55" i="1"/>
  <c r="G52" i="1"/>
  <c r="F42" i="47"/>
  <c r="D127" i="76"/>
  <c r="F103" i="76"/>
  <c r="H101" i="76"/>
  <c r="G101" i="76"/>
  <c r="E52" i="82"/>
  <c r="Q24" i="76"/>
  <c r="A50" i="76"/>
  <c r="R49" i="76"/>
  <c r="Q22" i="73"/>
  <c r="A48" i="73"/>
  <c r="R47" i="73"/>
  <c r="E21" i="1"/>
  <c r="E36" i="89" l="1"/>
  <c r="E22" i="89"/>
  <c r="E17" i="89" s="1"/>
  <c r="E38" i="89" s="1"/>
  <c r="E108" i="47" s="1"/>
  <c r="A49" i="73"/>
  <c r="Q23" i="73"/>
  <c r="R48" i="73"/>
  <c r="A24" i="79"/>
  <c r="J23" i="79"/>
  <c r="H122" i="80"/>
  <c r="K143" i="80" s="1"/>
  <c r="H121" i="80"/>
  <c r="K142" i="80" s="1"/>
  <c r="H118" i="80"/>
  <c r="K139" i="80" s="1"/>
  <c r="H119" i="80"/>
  <c r="K140" i="80" s="1"/>
  <c r="H120" i="80"/>
  <c r="K141" i="80" s="1"/>
  <c r="H117" i="80"/>
  <c r="K138" i="80" s="1"/>
  <c r="H116" i="80"/>
  <c r="K137" i="80" s="1"/>
  <c r="H115" i="80"/>
  <c r="K136" i="80" s="1"/>
  <c r="H114" i="80"/>
  <c r="K135" i="80" s="1"/>
  <c r="H113" i="80"/>
  <c r="K134" i="80" s="1"/>
  <c r="H112" i="80"/>
  <c r="K133" i="80" s="1"/>
  <c r="D129" i="76"/>
  <c r="E20" i="47" s="1"/>
  <c r="E21" i="47" s="1"/>
  <c r="A75" i="76"/>
  <c r="Q25" i="76" s="1"/>
  <c r="R74" i="76"/>
  <c r="A143" i="80"/>
  <c r="N142" i="80"/>
  <c r="D61" i="77"/>
  <c r="D39" i="92" s="1"/>
  <c r="A40" i="78"/>
  <c r="Q39" i="78"/>
  <c r="Q119" i="77"/>
  <c r="A120" i="77"/>
  <c r="G116" i="73"/>
  <c r="E61" i="77"/>
  <c r="E39" i="92" s="1"/>
  <c r="A90" i="5"/>
  <c r="L89" i="5"/>
  <c r="H102" i="73"/>
  <c r="F127" i="73"/>
  <c r="A49" i="79"/>
  <c r="J48" i="79"/>
  <c r="R23" i="76"/>
  <c r="A24" i="76"/>
  <c r="A121" i="80"/>
  <c r="N120" i="80"/>
  <c r="E83" i="47"/>
  <c r="D15" i="2"/>
  <c r="K64" i="83"/>
  <c r="A65" i="83"/>
  <c r="D14" i="92"/>
  <c r="A117" i="5"/>
  <c r="L116" i="5"/>
  <c r="H57" i="75"/>
  <c r="H19" i="75"/>
  <c r="I56" i="75"/>
  <c r="I19" i="75" s="1"/>
  <c r="A36" i="85"/>
  <c r="N35" i="85"/>
  <c r="A51" i="76"/>
  <c r="R50" i="76"/>
  <c r="A36" i="106"/>
  <c r="N34" i="106"/>
  <c r="G134" i="1"/>
  <c r="F88" i="47"/>
  <c r="A135" i="1"/>
  <c r="A21" i="84"/>
  <c r="Q20" i="84"/>
  <c r="G56" i="83"/>
  <c r="A68" i="80"/>
  <c r="N67" i="80"/>
  <c r="L23" i="5"/>
  <c r="A24" i="5"/>
  <c r="A57" i="89"/>
  <c r="K56" i="89"/>
  <c r="A16" i="85"/>
  <c r="N15" i="85"/>
  <c r="A99" i="75"/>
  <c r="J98" i="75"/>
  <c r="A87" i="77"/>
  <c r="Q87" i="77" s="1"/>
  <c r="Q98" i="77" s="1"/>
  <c r="Q86" i="77"/>
  <c r="A94" i="47"/>
  <c r="H91" i="47"/>
  <c r="I45" i="80"/>
  <c r="A44" i="80"/>
  <c r="N43" i="80"/>
  <c r="E48" i="80"/>
  <c r="G55" i="1"/>
  <c r="A56" i="1"/>
  <c r="E63" i="1"/>
  <c r="BJ51" i="104"/>
  <c r="A52" i="104"/>
  <c r="A53" i="103"/>
  <c r="BH52" i="103"/>
  <c r="A54" i="5"/>
  <c r="L53" i="5"/>
  <c r="A63" i="75"/>
  <c r="J62" i="75"/>
  <c r="A25" i="73"/>
  <c r="R25" i="73" s="1"/>
  <c r="R24" i="73"/>
  <c r="Q33" i="69"/>
  <c r="A35" i="69"/>
  <c r="H94" i="75"/>
  <c r="I93" i="75"/>
  <c r="R74" i="73"/>
  <c r="A75" i="73"/>
  <c r="R75" i="73" s="1"/>
  <c r="E91" i="1"/>
  <c r="A91" i="1"/>
  <c r="G90" i="1"/>
  <c r="A27" i="75"/>
  <c r="J26" i="75"/>
  <c r="G103" i="76"/>
  <c r="E127" i="76"/>
  <c r="A116" i="1"/>
  <c r="G115" i="1"/>
  <c r="E128" i="76"/>
  <c r="D24" i="92" s="1"/>
  <c r="A35" i="105"/>
  <c r="N33" i="105"/>
  <c r="F61" i="75"/>
  <c r="E62" i="75"/>
  <c r="E24" i="75"/>
  <c r="F128" i="73"/>
  <c r="E12" i="92" s="1"/>
  <c r="E14" i="92" s="1"/>
  <c r="H21" i="47"/>
  <c r="A23" i="47"/>
  <c r="A47" i="92"/>
  <c r="I46" i="92"/>
  <c r="A22" i="70"/>
  <c r="H21" i="70"/>
  <c r="G22" i="70"/>
  <c r="F97" i="75"/>
  <c r="E98" i="75"/>
  <c r="N59" i="85"/>
  <c r="A60" i="85"/>
  <c r="D20" i="1"/>
  <c r="D21" i="1" s="1"/>
  <c r="C60" i="90"/>
  <c r="H103" i="76"/>
  <c r="F127" i="76"/>
  <c r="A20" i="68"/>
  <c r="G19" i="68"/>
  <c r="K54" i="86"/>
  <c r="A55" i="86"/>
  <c r="F128" i="76"/>
  <c r="E24" i="92" s="1"/>
  <c r="E25" i="92" s="1"/>
  <c r="E127" i="73"/>
  <c r="E129" i="73" s="1"/>
  <c r="G102" i="73"/>
  <c r="H111" i="80"/>
  <c r="K132" i="80" s="1"/>
  <c r="D8" i="1"/>
  <c r="D10" i="1" s="1"/>
  <c r="C27" i="90"/>
  <c r="C29" i="90" s="1"/>
  <c r="C31" i="90"/>
  <c r="I24" i="92"/>
  <c r="A25" i="92"/>
  <c r="A20" i="90"/>
  <c r="F17" i="90"/>
  <c r="A23" i="1"/>
  <c r="G21" i="1"/>
  <c r="A27" i="92" l="1"/>
  <c r="I25" i="92"/>
  <c r="A100" i="75"/>
  <c r="J99" i="75"/>
  <c r="G55" i="83"/>
  <c r="H56" i="83" s="1"/>
  <c r="I56" i="83" s="1"/>
  <c r="J56" i="83" s="1"/>
  <c r="H58" i="75"/>
  <c r="H20" i="75"/>
  <c r="I57" i="75"/>
  <c r="I20" i="75" s="1"/>
  <c r="A41" i="78"/>
  <c r="Q40" i="78"/>
  <c r="G24" i="70"/>
  <c r="A24" i="70"/>
  <c r="H24" i="70" s="1"/>
  <c r="H22" i="70"/>
  <c r="F62" i="75"/>
  <c r="F25" i="75" s="1"/>
  <c r="E25" i="75"/>
  <c r="E63" i="75"/>
  <c r="A117" i="1"/>
  <c r="G116" i="1"/>
  <c r="A17" i="85"/>
  <c r="N16" i="85"/>
  <c r="F39" i="92"/>
  <c r="K152" i="80"/>
  <c r="L152" i="80" s="1"/>
  <c r="L135" i="80"/>
  <c r="K160" i="80"/>
  <c r="L160" i="80" s="1"/>
  <c r="L143" i="80"/>
  <c r="A21" i="68"/>
  <c r="G20" i="68"/>
  <c r="A28" i="75"/>
  <c r="J27" i="75"/>
  <c r="A53" i="104"/>
  <c r="BJ52" i="104"/>
  <c r="F129" i="73"/>
  <c r="K151" i="80"/>
  <c r="L151" i="80" s="1"/>
  <c r="L134" i="80"/>
  <c r="E24" i="82"/>
  <c r="G54" i="79"/>
  <c r="G63" i="80"/>
  <c r="G64" i="80" s="1"/>
  <c r="D64" i="80" s="1"/>
  <c r="D10" i="80" s="1"/>
  <c r="G98" i="80"/>
  <c r="G99" i="80" s="1"/>
  <c r="D99" i="80" s="1"/>
  <c r="D12" i="80" s="1"/>
  <c r="G82" i="80"/>
  <c r="G83" i="80" s="1"/>
  <c r="D83" i="80" s="1"/>
  <c r="D11" i="80" s="1"/>
  <c r="C56" i="90"/>
  <c r="A56" i="86"/>
  <c r="K55" i="86"/>
  <c r="A61" i="85"/>
  <c r="N60" i="85"/>
  <c r="F24" i="75"/>
  <c r="E129" i="76"/>
  <c r="A64" i="75"/>
  <c r="J63" i="75"/>
  <c r="A58" i="1"/>
  <c r="G56" i="1"/>
  <c r="E64" i="1"/>
  <c r="L117" i="5"/>
  <c r="A118" i="5"/>
  <c r="A122" i="80"/>
  <c r="N121" i="80"/>
  <c r="A91" i="5"/>
  <c r="L90" i="5"/>
  <c r="K153" i="80"/>
  <c r="L153" i="80" s="1"/>
  <c r="L136" i="80"/>
  <c r="A26" i="1"/>
  <c r="E25" i="1"/>
  <c r="G23" i="1"/>
  <c r="F98" i="75"/>
  <c r="E99" i="75"/>
  <c r="F25" i="47"/>
  <c r="H23" i="47"/>
  <c r="A26" i="47"/>
  <c r="N36" i="85"/>
  <c r="A37" i="85"/>
  <c r="K159" i="80"/>
  <c r="L159" i="80" s="1"/>
  <c r="L142" i="80"/>
  <c r="C33" i="90"/>
  <c r="C62" i="90"/>
  <c r="C64" i="90" s="1"/>
  <c r="D79" i="1" s="1"/>
  <c r="D80" i="1" s="1"/>
  <c r="D93" i="1" s="1"/>
  <c r="D132" i="1" s="1"/>
  <c r="E86" i="47" s="1"/>
  <c r="G48" i="92"/>
  <c r="A48" i="92"/>
  <c r="I47" i="92"/>
  <c r="A95" i="47"/>
  <c r="H94" i="47"/>
  <c r="A58" i="89"/>
  <c r="K57" i="89"/>
  <c r="A22" i="84"/>
  <c r="Q21" i="84"/>
  <c r="A52" i="76"/>
  <c r="R52" i="76" s="1"/>
  <c r="R51" i="76"/>
  <c r="A25" i="76"/>
  <c r="R24" i="76"/>
  <c r="A144" i="80"/>
  <c r="N143" i="80"/>
  <c r="K154" i="80"/>
  <c r="L154" i="80" s="1"/>
  <c r="L137" i="80"/>
  <c r="A25" i="79"/>
  <c r="J24" i="79"/>
  <c r="K149" i="80"/>
  <c r="L149" i="80" s="1"/>
  <c r="M149" i="80" s="1"/>
  <c r="L132" i="80"/>
  <c r="M132" i="80" s="1"/>
  <c r="H95" i="75"/>
  <c r="I94" i="75"/>
  <c r="A55" i="5"/>
  <c r="L54" i="5"/>
  <c r="B134" i="5"/>
  <c r="A25" i="5"/>
  <c r="L24" i="5"/>
  <c r="F89" i="47"/>
  <c r="A136" i="1"/>
  <c r="G135" i="1"/>
  <c r="F12" i="92"/>
  <c r="F14" i="92" s="1"/>
  <c r="K155" i="80"/>
  <c r="L155" i="80" s="1"/>
  <c r="L138" i="80"/>
  <c r="A66" i="83"/>
  <c r="K65" i="83"/>
  <c r="Q120" i="77"/>
  <c r="A121" i="77"/>
  <c r="K158" i="80"/>
  <c r="L158" i="80" s="1"/>
  <c r="L141" i="80"/>
  <c r="A76" i="76"/>
  <c r="R75" i="76"/>
  <c r="A21" i="90"/>
  <c r="F20" i="90"/>
  <c r="F129" i="76"/>
  <c r="A37" i="105"/>
  <c r="N35" i="105"/>
  <c r="A54" i="103"/>
  <c r="BH53" i="103"/>
  <c r="A45" i="80"/>
  <c r="N44" i="80"/>
  <c r="A54" i="79"/>
  <c r="J49" i="79"/>
  <c r="C59" i="79"/>
  <c r="C56" i="79"/>
  <c r="K157" i="80"/>
  <c r="L157" i="80" s="1"/>
  <c r="L140" i="80"/>
  <c r="A50" i="73"/>
  <c r="R50" i="73" s="1"/>
  <c r="R49" i="73"/>
  <c r="Q24" i="73"/>
  <c r="F24" i="92"/>
  <c r="F25" i="92" s="1"/>
  <c r="D25" i="92"/>
  <c r="K150" i="80"/>
  <c r="L150" i="80" s="1"/>
  <c r="M150" i="80" s="1"/>
  <c r="L133" i="80"/>
  <c r="K156" i="80"/>
  <c r="L156" i="80" s="1"/>
  <c r="L139" i="80"/>
  <c r="A37" i="69"/>
  <c r="Q35" i="69"/>
  <c r="A93" i="1"/>
  <c r="G91" i="1"/>
  <c r="E93" i="1"/>
  <c r="N68" i="80"/>
  <c r="A69" i="80"/>
  <c r="N69" i="80" s="1"/>
  <c r="A38" i="106"/>
  <c r="N36" i="106"/>
  <c r="J57" i="83" l="1"/>
  <c r="J58" i="83" s="1"/>
  <c r="J59" i="83" s="1"/>
  <c r="J60" i="83" s="1"/>
  <c r="A77" i="76"/>
  <c r="R77" i="76" s="1"/>
  <c r="R76" i="76"/>
  <c r="M133" i="80"/>
  <c r="BH54" i="103"/>
  <c r="A55" i="103"/>
  <c r="A56" i="5"/>
  <c r="L55" i="5"/>
  <c r="A50" i="92"/>
  <c r="I48" i="92"/>
  <c r="A119" i="5"/>
  <c r="L118" i="5"/>
  <c r="H59" i="75"/>
  <c r="H21" i="75"/>
  <c r="I58" i="75"/>
  <c r="I21" i="75" s="1"/>
  <c r="N37" i="85"/>
  <c r="A38" i="85"/>
  <c r="A123" i="80"/>
  <c r="N122" i="80"/>
  <c r="A27" i="47"/>
  <c r="H26" i="47"/>
  <c r="A27" i="1"/>
  <c r="G26" i="1"/>
  <c r="G60" i="79"/>
  <c r="G57" i="79"/>
  <c r="A29" i="75"/>
  <c r="J28" i="75"/>
  <c r="E132" i="1"/>
  <c r="G93" i="1"/>
  <c r="A39" i="105"/>
  <c r="N37" i="105"/>
  <c r="Q121" i="77"/>
  <c r="A122" i="77"/>
  <c r="Q122" i="77" s="1"/>
  <c r="A137" i="1"/>
  <c r="G136" i="1"/>
  <c r="F90" i="47"/>
  <c r="E137" i="1"/>
  <c r="H96" i="75"/>
  <c r="I95" i="75"/>
  <c r="A146" i="80"/>
  <c r="N144" i="80"/>
  <c r="Q22" i="84"/>
  <c r="A23" i="84"/>
  <c r="A62" i="85"/>
  <c r="N61" i="85"/>
  <c r="E25" i="82"/>
  <c r="D24" i="82"/>
  <c r="D25" i="82" s="1"/>
  <c r="E27" i="82" s="1"/>
  <c r="A18" i="85"/>
  <c r="N17" i="85"/>
  <c r="H67" i="83"/>
  <c r="I67" i="83" s="1"/>
  <c r="H65" i="83"/>
  <c r="I65" i="83" s="1"/>
  <c r="H66" i="83"/>
  <c r="I66" i="83" s="1"/>
  <c r="H64" i="83"/>
  <c r="I64" i="83" s="1"/>
  <c r="H63" i="83"/>
  <c r="I63" i="83" s="1"/>
  <c r="H62" i="83"/>
  <c r="I62" i="83" s="1"/>
  <c r="H61" i="83"/>
  <c r="I61" i="83" s="1"/>
  <c r="H60" i="83"/>
  <c r="I60" i="83" s="1"/>
  <c r="H59" i="83"/>
  <c r="I59" i="83" s="1"/>
  <c r="H58" i="83"/>
  <c r="I58" i="83" s="1"/>
  <c r="H57" i="83"/>
  <c r="I57" i="83" s="1"/>
  <c r="M134" i="80"/>
  <c r="A22" i="68"/>
  <c r="G21" i="68"/>
  <c r="A56" i="79"/>
  <c r="J54" i="79"/>
  <c r="A26" i="76"/>
  <c r="R25" i="76"/>
  <c r="A59" i="89"/>
  <c r="K58" i="89"/>
  <c r="F36" i="85"/>
  <c r="F38" i="85" s="1"/>
  <c r="G44" i="80"/>
  <c r="G45" i="80" s="1"/>
  <c r="D45" i="80" s="1"/>
  <c r="D9" i="80" s="1"/>
  <c r="D13" i="80" s="1"/>
  <c r="C57" i="90"/>
  <c r="F41" i="85" s="1"/>
  <c r="F42" i="85" s="1"/>
  <c r="F44" i="85" s="1"/>
  <c r="F46" i="85" s="1"/>
  <c r="D126" i="1" s="1"/>
  <c r="F99" i="75"/>
  <c r="E100" i="75"/>
  <c r="A59" i="1"/>
  <c r="G58" i="1"/>
  <c r="E65" i="1"/>
  <c r="A57" i="86"/>
  <c r="K56" i="86"/>
  <c r="M151" i="80"/>
  <c r="M152" i="80" s="1"/>
  <c r="M153" i="80" s="1"/>
  <c r="M154" i="80" s="1"/>
  <c r="M155" i="80" s="1"/>
  <c r="M156" i="80" s="1"/>
  <c r="M157" i="80" s="1"/>
  <c r="M158" i="80" s="1"/>
  <c r="M159" i="80" s="1"/>
  <c r="M160" i="80" s="1"/>
  <c r="M163" i="80" s="1"/>
  <c r="M164" i="80" s="1"/>
  <c r="D27" i="2" s="1"/>
  <c r="A118" i="1"/>
  <c r="G117" i="1"/>
  <c r="A101" i="75"/>
  <c r="J100" i="75"/>
  <c r="A40" i="106"/>
  <c r="N38" i="106"/>
  <c r="A39" i="69"/>
  <c r="Q39" i="69" s="1"/>
  <c r="Q37" i="69"/>
  <c r="F21" i="90"/>
  <c r="D24" i="90"/>
  <c r="D23" i="90"/>
  <c r="A23" i="90"/>
  <c r="A67" i="83"/>
  <c r="K66" i="83"/>
  <c r="A27" i="5"/>
  <c r="L25" i="5"/>
  <c r="L91" i="5"/>
  <c r="B72" i="5"/>
  <c r="C95" i="5"/>
  <c r="E40" i="82"/>
  <c r="E41" i="82" s="1"/>
  <c r="D40" i="82"/>
  <c r="D41" i="82" s="1"/>
  <c r="H54" i="79"/>
  <c r="E26" i="75"/>
  <c r="F63" i="75"/>
  <c r="E64" i="75"/>
  <c r="A42" i="78"/>
  <c r="Q41" i="78"/>
  <c r="N45" i="80"/>
  <c r="E9" i="80"/>
  <c r="A48" i="80"/>
  <c r="N48" i="80" s="1"/>
  <c r="A26" i="79"/>
  <c r="J26" i="79" s="1"/>
  <c r="J25" i="79"/>
  <c r="Q26" i="76"/>
  <c r="A96" i="47"/>
  <c r="H95" i="47"/>
  <c r="F96" i="47"/>
  <c r="A65" i="75"/>
  <c r="J64" i="75"/>
  <c r="M135" i="80"/>
  <c r="M136" i="80" s="1"/>
  <c r="M137" i="80" s="1"/>
  <c r="M138" i="80" s="1"/>
  <c r="M139" i="80" s="1"/>
  <c r="M140" i="80" s="1"/>
  <c r="M141" i="80" s="1"/>
  <c r="M142" i="80" s="1"/>
  <c r="M143" i="80" s="1"/>
  <c r="A54" i="104"/>
  <c r="BJ53" i="104"/>
  <c r="A28" i="92"/>
  <c r="I27" i="92"/>
  <c r="A41" i="105" l="1"/>
  <c r="N39" i="105"/>
  <c r="Q42" i="78"/>
  <c r="A43" i="78"/>
  <c r="E43" i="82"/>
  <c r="E5" i="82" s="1"/>
  <c r="E27" i="47" s="1"/>
  <c r="A63" i="85"/>
  <c r="N62" i="85"/>
  <c r="A28" i="1"/>
  <c r="G27" i="1"/>
  <c r="E81" i="47"/>
  <c r="D15" i="1"/>
  <c r="A57" i="79"/>
  <c r="J56" i="79"/>
  <c r="I28" i="92"/>
  <c r="A29" i="92"/>
  <c r="A55" i="104"/>
  <c r="BJ54" i="104"/>
  <c r="E65" i="75"/>
  <c r="E27" i="75"/>
  <c r="F64" i="75"/>
  <c r="A68" i="83"/>
  <c r="K67" i="83"/>
  <c r="A58" i="86"/>
  <c r="K57" i="86"/>
  <c r="A66" i="75"/>
  <c r="J65" i="75"/>
  <c r="F26" i="75"/>
  <c r="A24" i="90"/>
  <c r="F23" i="90"/>
  <c r="E123" i="80"/>
  <c r="D121" i="80"/>
  <c r="I121" i="80" s="1"/>
  <c r="D113" i="80"/>
  <c r="I113" i="80" s="1"/>
  <c r="D120" i="80"/>
  <c r="I120" i="80" s="1"/>
  <c r="D112" i="80"/>
  <c r="I112" i="80" s="1"/>
  <c r="D119" i="80"/>
  <c r="I119" i="80" s="1"/>
  <c r="D111" i="80"/>
  <c r="D118" i="80"/>
  <c r="I118" i="80" s="1"/>
  <c r="D117" i="80"/>
  <c r="I117" i="80" s="1"/>
  <c r="D116" i="80"/>
  <c r="I116" i="80" s="1"/>
  <c r="D115" i="80"/>
  <c r="I115" i="80" s="1"/>
  <c r="D122" i="80"/>
  <c r="I122" i="80" s="1"/>
  <c r="D114" i="80"/>
  <c r="I114" i="80" s="1"/>
  <c r="D23" i="1"/>
  <c r="D25" i="1" s="1"/>
  <c r="C57" i="79"/>
  <c r="A24" i="84"/>
  <c r="Q23" i="84"/>
  <c r="A28" i="47"/>
  <c r="H27" i="47"/>
  <c r="H60" i="79"/>
  <c r="H57" i="79"/>
  <c r="F57" i="79" s="1"/>
  <c r="E14" i="47" s="1"/>
  <c r="A27" i="76"/>
  <c r="R27" i="76" s="1"/>
  <c r="R26" i="76"/>
  <c r="A42" i="106"/>
  <c r="N40" i="106"/>
  <c r="A102" i="75"/>
  <c r="J101" i="75"/>
  <c r="E14" i="2"/>
  <c r="A140" i="1"/>
  <c r="G137" i="1"/>
  <c r="H22" i="75"/>
  <c r="H60" i="75"/>
  <c r="I59" i="75"/>
  <c r="I22" i="75" s="1"/>
  <c r="A57" i="5"/>
  <c r="L56" i="5"/>
  <c r="J29" i="75"/>
  <c r="A30" i="75"/>
  <c r="A119" i="1"/>
  <c r="G118" i="1"/>
  <c r="A60" i="89"/>
  <c r="K59" i="89"/>
  <c r="A25" i="68"/>
  <c r="G22" i="68"/>
  <c r="N146" i="80"/>
  <c r="A149" i="80"/>
  <c r="A124" i="80"/>
  <c r="N123" i="80"/>
  <c r="L119" i="5"/>
  <c r="A120" i="5"/>
  <c r="L120" i="5" s="1"/>
  <c r="B133" i="5"/>
  <c r="A60" i="1"/>
  <c r="G59" i="1"/>
  <c r="A19" i="85"/>
  <c r="N18" i="85"/>
  <c r="A98" i="47"/>
  <c r="H96" i="47"/>
  <c r="F98" i="47"/>
  <c r="F100" i="75"/>
  <c r="E101" i="75"/>
  <c r="E6" i="82"/>
  <c r="D27" i="1" s="1"/>
  <c r="F60" i="79"/>
  <c r="A39" i="85"/>
  <c r="N38" i="85"/>
  <c r="A56" i="103"/>
  <c r="BH55" i="103"/>
  <c r="L27" i="5"/>
  <c r="B7" i="5"/>
  <c r="H97" i="75"/>
  <c r="I96" i="75"/>
  <c r="A52" i="92"/>
  <c r="I50" i="92"/>
  <c r="J61" i="83"/>
  <c r="J62" i="83" s="1"/>
  <c r="J63" i="83" s="1"/>
  <c r="J64" i="83" s="1"/>
  <c r="J65" i="83" s="1"/>
  <c r="J66" i="83" s="1"/>
  <c r="J67" i="83" s="1"/>
  <c r="J69" i="83" s="1"/>
  <c r="C48" i="83" s="1"/>
  <c r="E24" i="47" s="1"/>
  <c r="A101" i="47" l="1"/>
  <c r="H98" i="47"/>
  <c r="F103" i="47"/>
  <c r="A31" i="75"/>
  <c r="J30" i="75"/>
  <c r="A56" i="104"/>
  <c r="BJ55" i="104"/>
  <c r="A141" i="1"/>
  <c r="E30" i="2"/>
  <c r="G140" i="1"/>
  <c r="F94" i="47"/>
  <c r="A45" i="106"/>
  <c r="N42" i="106"/>
  <c r="A25" i="84"/>
  <c r="Q24" i="84"/>
  <c r="A30" i="92"/>
  <c r="I29" i="92"/>
  <c r="A30" i="1"/>
  <c r="G28" i="1"/>
  <c r="E30" i="1"/>
  <c r="A63" i="1"/>
  <c r="G60" i="1"/>
  <c r="E69" i="1"/>
  <c r="A57" i="103"/>
  <c r="BH56" i="103"/>
  <c r="I111" i="80"/>
  <c r="J111" i="80" s="1"/>
  <c r="J112" i="80" s="1"/>
  <c r="J113" i="80" s="1"/>
  <c r="J114" i="80" s="1"/>
  <c r="J115" i="80" s="1"/>
  <c r="J116" i="80" s="1"/>
  <c r="J117" i="80" s="1"/>
  <c r="J118" i="80" s="1"/>
  <c r="J119" i="80" s="1"/>
  <c r="J120" i="80" s="1"/>
  <c r="J121" i="80" s="1"/>
  <c r="J122" i="80" s="1"/>
  <c r="J124" i="80" s="1"/>
  <c r="D21" i="80" s="1"/>
  <c r="D23" i="80" s="1"/>
  <c r="E23" i="47" s="1"/>
  <c r="E25" i="47" s="1"/>
  <c r="E111" i="80"/>
  <c r="E112" i="80" s="1"/>
  <c r="E113" i="80" s="1"/>
  <c r="E114" i="80" s="1"/>
  <c r="E115" i="80" s="1"/>
  <c r="E116" i="80" s="1"/>
  <c r="E117" i="80" s="1"/>
  <c r="E118" i="80" s="1"/>
  <c r="E119" i="80" s="1"/>
  <c r="E120" i="80" s="1"/>
  <c r="E121" i="80" s="1"/>
  <c r="E122" i="80" s="1"/>
  <c r="F24" i="90"/>
  <c r="A27" i="90"/>
  <c r="F49" i="82"/>
  <c r="F14" i="82"/>
  <c r="A69" i="83"/>
  <c r="K69" i="83" s="1"/>
  <c r="K68" i="83"/>
  <c r="A59" i="86"/>
  <c r="K58" i="86"/>
  <c r="A26" i="68"/>
  <c r="G25" i="68"/>
  <c r="D16" i="2"/>
  <c r="F27" i="75"/>
  <c r="A64" i="85"/>
  <c r="N63" i="85"/>
  <c r="A53" i="92"/>
  <c r="I52" i="92"/>
  <c r="N39" i="85"/>
  <c r="A40" i="85"/>
  <c r="K60" i="89"/>
  <c r="F9" i="89"/>
  <c r="A44" i="78"/>
  <c r="Q43" i="78"/>
  <c r="D14" i="1"/>
  <c r="D16" i="1" s="1"/>
  <c r="D30" i="1" s="1"/>
  <c r="H98" i="75"/>
  <c r="I97" i="75"/>
  <c r="A20" i="85"/>
  <c r="N19" i="85"/>
  <c r="H61" i="75"/>
  <c r="H23" i="75"/>
  <c r="I60" i="75"/>
  <c r="I23" i="75" s="1"/>
  <c r="A103" i="75"/>
  <c r="J102" i="75"/>
  <c r="A67" i="75"/>
  <c r="J66" i="75"/>
  <c r="E66" i="75"/>
  <c r="F65" i="75"/>
  <c r="F28" i="75" s="1"/>
  <c r="E28" i="75"/>
  <c r="A58" i="5"/>
  <c r="L57" i="5"/>
  <c r="A59" i="79"/>
  <c r="J57" i="79"/>
  <c r="E21" i="80"/>
  <c r="N124" i="80"/>
  <c r="F101" i="75"/>
  <c r="E102" i="75"/>
  <c r="A150" i="80"/>
  <c r="N149" i="80"/>
  <c r="A120" i="1"/>
  <c r="G120" i="1" s="1"/>
  <c r="G119" i="1"/>
  <c r="A30" i="47"/>
  <c r="H28" i="47"/>
  <c r="F30" i="47"/>
  <c r="E15" i="47"/>
  <c r="E16" i="47" s="1"/>
  <c r="E30" i="47" s="1"/>
  <c r="A43" i="105"/>
  <c r="N41" i="105"/>
  <c r="E66" i="47" l="1"/>
  <c r="E61" i="47" s="1"/>
  <c r="E87" i="47" s="1"/>
  <c r="E48" i="47"/>
  <c r="E50" i="47" s="1"/>
  <c r="E85" i="47" s="1"/>
  <c r="D115" i="1"/>
  <c r="D110" i="1" s="1"/>
  <c r="D133" i="1" s="1"/>
  <c r="D71" i="1"/>
  <c r="D73" i="1" s="1"/>
  <c r="D131" i="1" s="1"/>
  <c r="A59" i="5"/>
  <c r="L58" i="5"/>
  <c r="Q25" i="84"/>
  <c r="A26" i="84"/>
  <c r="A57" i="104"/>
  <c r="BJ56" i="104"/>
  <c r="A104" i="75"/>
  <c r="J103" i="75"/>
  <c r="A45" i="105"/>
  <c r="N43" i="105"/>
  <c r="H62" i="75"/>
  <c r="H24" i="75"/>
  <c r="I61" i="75"/>
  <c r="I24" i="75" s="1"/>
  <c r="I53" i="92"/>
  <c r="A55" i="92"/>
  <c r="G55" i="92"/>
  <c r="A27" i="68"/>
  <c r="G26" i="68"/>
  <c r="F27" i="90"/>
  <c r="A28" i="90"/>
  <c r="A64" i="1"/>
  <c r="G63" i="1"/>
  <c r="N40" i="85"/>
  <c r="A41" i="85"/>
  <c r="A151" i="80"/>
  <c r="N150" i="80"/>
  <c r="F66" i="75"/>
  <c r="E67" i="75"/>
  <c r="E29" i="75"/>
  <c r="A45" i="78"/>
  <c r="Q44" i="78"/>
  <c r="A47" i="106"/>
  <c r="N45" i="106"/>
  <c r="A32" i="75"/>
  <c r="J31" i="75"/>
  <c r="H30" i="47"/>
  <c r="F66" i="47"/>
  <c r="F48" i="47"/>
  <c r="A21" i="85"/>
  <c r="N20" i="85"/>
  <c r="A65" i="85"/>
  <c r="N65" i="85" s="1"/>
  <c r="N64" i="85"/>
  <c r="A60" i="86"/>
  <c r="K59" i="86"/>
  <c r="F102" i="75"/>
  <c r="E103" i="75"/>
  <c r="A68" i="75"/>
  <c r="J67" i="75"/>
  <c r="G30" i="1"/>
  <c r="E115" i="1"/>
  <c r="A60" i="79"/>
  <c r="J60" i="79" s="1"/>
  <c r="J59" i="79"/>
  <c r="C60" i="79"/>
  <c r="H99" i="75"/>
  <c r="I98" i="75"/>
  <c r="C75" i="47"/>
  <c r="A103" i="47"/>
  <c r="H101" i="47"/>
  <c r="A58" i="103"/>
  <c r="BH57" i="103"/>
  <c r="A32" i="92"/>
  <c r="I32" i="92" s="1"/>
  <c r="I30" i="92"/>
  <c r="G32" i="92"/>
  <c r="G141" i="1"/>
  <c r="F95" i="47"/>
  <c r="E31" i="2"/>
  <c r="A142" i="1"/>
  <c r="E142" i="1"/>
  <c r="E91" i="47" l="1"/>
  <c r="E96" i="47" s="1"/>
  <c r="E98" i="47" s="1"/>
  <c r="E103" i="47" s="1"/>
  <c r="E107" i="47" s="1"/>
  <c r="E110" i="47" s="1"/>
  <c r="B36" i="5" s="1"/>
  <c r="D137" i="1"/>
  <c r="D142" i="1" s="1"/>
  <c r="D144" i="1" s="1"/>
  <c r="D148" i="1" s="1"/>
  <c r="G27" i="68"/>
  <c r="A28" i="68"/>
  <c r="N45" i="105"/>
  <c r="A47" i="105"/>
  <c r="L59" i="5"/>
  <c r="A60" i="5"/>
  <c r="A144" i="1"/>
  <c r="G142" i="1"/>
  <c r="E144" i="1"/>
  <c r="A105" i="75"/>
  <c r="J104" i="75"/>
  <c r="A42" i="85"/>
  <c r="N41" i="85"/>
  <c r="A61" i="86"/>
  <c r="K60" i="86"/>
  <c r="A56" i="92"/>
  <c r="I55" i="92"/>
  <c r="A33" i="75"/>
  <c r="J32" i="75"/>
  <c r="F67" i="75"/>
  <c r="E68" i="75"/>
  <c r="E30" i="75"/>
  <c r="F41" i="47"/>
  <c r="A65" i="1"/>
  <c r="G64" i="1"/>
  <c r="A46" i="78"/>
  <c r="Q45" i="78"/>
  <c r="F29" i="75"/>
  <c r="A58" i="104"/>
  <c r="BJ57" i="104"/>
  <c r="BH58" i="103"/>
  <c r="A59" i="103"/>
  <c r="A29" i="90"/>
  <c r="F28" i="90"/>
  <c r="H100" i="75"/>
  <c r="I99" i="75"/>
  <c r="A69" i="75"/>
  <c r="J68" i="75"/>
  <c r="N47" i="106"/>
  <c r="A49" i="106"/>
  <c r="A27" i="84"/>
  <c r="Q26" i="84"/>
  <c r="A106" i="47"/>
  <c r="F107" i="47" s="1"/>
  <c r="H103" i="47"/>
  <c r="F103" i="75"/>
  <c r="E104" i="75"/>
  <c r="A22" i="85"/>
  <c r="N21" i="85"/>
  <c r="N151" i="80"/>
  <c r="A152" i="80"/>
  <c r="D29" i="90"/>
  <c r="H25" i="75"/>
  <c r="H63" i="75"/>
  <c r="I62" i="75"/>
  <c r="I25" i="75" s="1"/>
  <c r="D14" i="2" l="1"/>
  <c r="D17" i="2" s="1"/>
  <c r="D18" i="2" s="1"/>
  <c r="D23" i="2" s="1"/>
  <c r="D54" i="5"/>
  <c r="F54" i="5" s="1"/>
  <c r="D50" i="5"/>
  <c r="F50" i="5" s="1"/>
  <c r="D46" i="5"/>
  <c r="F46" i="5" s="1"/>
  <c r="D53" i="5"/>
  <c r="F53" i="5" s="1"/>
  <c r="D49" i="5"/>
  <c r="F49" i="5" s="1"/>
  <c r="D45" i="5"/>
  <c r="F45" i="5" s="1"/>
  <c r="D56" i="5"/>
  <c r="F56" i="5" s="1"/>
  <c r="D52" i="5"/>
  <c r="F52" i="5" s="1"/>
  <c r="D48" i="5"/>
  <c r="F48" i="5" s="1"/>
  <c r="D55" i="5"/>
  <c r="F55" i="5" s="1"/>
  <c r="D51" i="5"/>
  <c r="F51" i="5" s="1"/>
  <c r="D47" i="5"/>
  <c r="F47" i="5" s="1"/>
  <c r="A43" i="85"/>
  <c r="N42" i="85"/>
  <c r="A61" i="5"/>
  <c r="L60" i="5"/>
  <c r="A51" i="106"/>
  <c r="N49" i="106"/>
  <c r="BH59" i="103"/>
  <c r="A60" i="103"/>
  <c r="A66" i="1"/>
  <c r="G65" i="1"/>
  <c r="E66" i="1"/>
  <c r="J33" i="75"/>
  <c r="A34" i="75"/>
  <c r="A153" i="80"/>
  <c r="N152" i="80"/>
  <c r="E68" i="1"/>
  <c r="A49" i="105"/>
  <c r="N49" i="105" s="1"/>
  <c r="N47" i="105"/>
  <c r="H26" i="75"/>
  <c r="H64" i="75"/>
  <c r="I63" i="75"/>
  <c r="A107" i="47"/>
  <c r="H106" i="47"/>
  <c r="J69" i="75"/>
  <c r="A70" i="75"/>
  <c r="A59" i="104"/>
  <c r="BJ58" i="104"/>
  <c r="A57" i="92"/>
  <c r="I56" i="92"/>
  <c r="A106" i="75"/>
  <c r="J105" i="75"/>
  <c r="A29" i="68"/>
  <c r="G28" i="68"/>
  <c r="A31" i="90"/>
  <c r="F29" i="90"/>
  <c r="F24" i="82"/>
  <c r="D56" i="90"/>
  <c r="A23" i="85"/>
  <c r="N23" i="85" s="1"/>
  <c r="N22" i="85"/>
  <c r="A28" i="84"/>
  <c r="Q27" i="84"/>
  <c r="F104" i="75"/>
  <c r="E105" i="75"/>
  <c r="H101" i="75"/>
  <c r="I100" i="75"/>
  <c r="E31" i="75"/>
  <c r="F68" i="75"/>
  <c r="F31" i="75" s="1"/>
  <c r="E69" i="75"/>
  <c r="A62" i="86"/>
  <c r="K61" i="86"/>
  <c r="Q46" i="78"/>
  <c r="A47" i="78"/>
  <c r="F30" i="75"/>
  <c r="G144" i="1"/>
  <c r="E148" i="1"/>
  <c r="H102" i="75" l="1"/>
  <c r="I101" i="75"/>
  <c r="A32" i="90"/>
  <c r="D33" i="90" s="1"/>
  <c r="F31" i="90"/>
  <c r="A62" i="5"/>
  <c r="L61" i="5"/>
  <c r="A29" i="84"/>
  <c r="Q28" i="84"/>
  <c r="A48" i="78"/>
  <c r="Q47" i="78"/>
  <c r="A71" i="75"/>
  <c r="J70" i="75"/>
  <c r="I45" i="5"/>
  <c r="J45" i="5" s="1"/>
  <c r="G45" i="5"/>
  <c r="G46" i="5" s="1"/>
  <c r="G47" i="5" s="1"/>
  <c r="G48" i="5" s="1"/>
  <c r="G49" i="5" s="1"/>
  <c r="BJ59" i="104"/>
  <c r="A60" i="104"/>
  <c r="A30" i="68"/>
  <c r="G30" i="68" s="1"/>
  <c r="G29" i="68"/>
  <c r="E71" i="1"/>
  <c r="A68" i="1"/>
  <c r="G66" i="1"/>
  <c r="N43" i="85"/>
  <c r="A44" i="85"/>
  <c r="A61" i="103"/>
  <c r="BH60" i="103"/>
  <c r="A63" i="86"/>
  <c r="K63" i="86" s="1"/>
  <c r="K62" i="86"/>
  <c r="A107" i="75"/>
  <c r="J106" i="75"/>
  <c r="A108" i="47"/>
  <c r="F110" i="47" s="1"/>
  <c r="H107" i="47"/>
  <c r="A154" i="80"/>
  <c r="N153" i="80"/>
  <c r="I26" i="75"/>
  <c r="F105" i="75"/>
  <c r="E106" i="75"/>
  <c r="F69" i="75"/>
  <c r="F32" i="75" s="1"/>
  <c r="E70" i="75"/>
  <c r="E32" i="75"/>
  <c r="A59" i="92"/>
  <c r="I59" i="92" s="1"/>
  <c r="I57" i="92"/>
  <c r="G59" i="92"/>
  <c r="H65" i="75"/>
  <c r="H27" i="75"/>
  <c r="I64" i="75"/>
  <c r="I27" i="75" s="1"/>
  <c r="A35" i="75"/>
  <c r="J34" i="75"/>
  <c r="A54" i="106"/>
  <c r="N51" i="106"/>
  <c r="G50" i="5" l="1"/>
  <c r="A49" i="78"/>
  <c r="Q48" i="78"/>
  <c r="A36" i="75"/>
  <c r="J35" i="75"/>
  <c r="F70" i="75"/>
  <c r="E33" i="75"/>
  <c r="E71" i="75"/>
  <c r="A61" i="104"/>
  <c r="BJ60" i="104"/>
  <c r="A33" i="90"/>
  <c r="F32" i="90"/>
  <c r="A155" i="80"/>
  <c r="N154" i="80"/>
  <c r="Q29" i="84"/>
  <c r="A30" i="84"/>
  <c r="A45" i="85"/>
  <c r="N44" i="85"/>
  <c r="K45" i="5"/>
  <c r="I46" i="5" s="1"/>
  <c r="J46" i="5" s="1"/>
  <c r="K46" i="5" s="1"/>
  <c r="I47" i="5" s="1"/>
  <c r="J47" i="5" s="1"/>
  <c r="K47" i="5" s="1"/>
  <c r="I48" i="5" s="1"/>
  <c r="J48" i="5" s="1"/>
  <c r="K48" i="5" s="1"/>
  <c r="I49" i="5" s="1"/>
  <c r="J49" i="5" s="1"/>
  <c r="K49" i="5" s="1"/>
  <c r="I50" i="5" s="1"/>
  <c r="J50" i="5" s="1"/>
  <c r="H108" i="47"/>
  <c r="A110" i="47"/>
  <c r="A69" i="1"/>
  <c r="G68" i="1"/>
  <c r="E116" i="1"/>
  <c r="H103" i="75"/>
  <c r="I102" i="75"/>
  <c r="H28" i="75"/>
  <c r="H66" i="75"/>
  <c r="I65" i="75"/>
  <c r="F106" i="75"/>
  <c r="E107" i="75"/>
  <c r="A72" i="75"/>
  <c r="J71" i="75"/>
  <c r="A63" i="5"/>
  <c r="L62" i="5"/>
  <c r="A56" i="106"/>
  <c r="N56" i="106" s="1"/>
  <c r="N54" i="106"/>
  <c r="A108" i="75"/>
  <c r="J107" i="75"/>
  <c r="A62" i="103"/>
  <c r="BH61" i="103"/>
  <c r="A35" i="90" l="1"/>
  <c r="F33" i="90"/>
  <c r="D57" i="90"/>
  <c r="A109" i="75"/>
  <c r="J108" i="75"/>
  <c r="A37" i="75"/>
  <c r="J36" i="75"/>
  <c r="F107" i="75"/>
  <c r="E108" i="75"/>
  <c r="N45" i="85"/>
  <c r="A46" i="85"/>
  <c r="N46" i="85" s="1"/>
  <c r="A62" i="104"/>
  <c r="BJ61" i="104"/>
  <c r="I28" i="75"/>
  <c r="C36" i="5"/>
  <c r="H110" i="47"/>
  <c r="A31" i="84"/>
  <c r="Q30" i="84"/>
  <c r="A50" i="78"/>
  <c r="Q49" i="78"/>
  <c r="H104" i="75"/>
  <c r="I103" i="75"/>
  <c r="H67" i="75"/>
  <c r="H29" i="75"/>
  <c r="I66" i="75"/>
  <c r="I29" i="75" s="1"/>
  <c r="K50" i="5"/>
  <c r="I51" i="5" s="1"/>
  <c r="J51" i="5" s="1"/>
  <c r="G51" i="5"/>
  <c r="F46" i="47"/>
  <c r="A71" i="1"/>
  <c r="G69" i="1"/>
  <c r="E72" i="1"/>
  <c r="A64" i="5"/>
  <c r="L63" i="5"/>
  <c r="E34" i="75"/>
  <c r="F71" i="75"/>
  <c r="F34" i="75" s="1"/>
  <c r="E72" i="75"/>
  <c r="A63" i="103"/>
  <c r="BH62" i="103"/>
  <c r="A73" i="75"/>
  <c r="J72" i="75"/>
  <c r="N155" i="80"/>
  <c r="A156" i="80"/>
  <c r="F33" i="75"/>
  <c r="BH63" i="103" l="1"/>
  <c r="A64" i="103"/>
  <c r="E73" i="75"/>
  <c r="E35" i="75"/>
  <c r="F72" i="75"/>
  <c r="F35" i="75" s="1"/>
  <c r="A72" i="1"/>
  <c r="G71" i="1"/>
  <c r="H105" i="75"/>
  <c r="I104" i="75"/>
  <c r="J37" i="75"/>
  <c r="A38" i="75"/>
  <c r="A157" i="80"/>
  <c r="N156" i="80"/>
  <c r="K51" i="5"/>
  <c r="I52" i="5" s="1"/>
  <c r="J52" i="5" s="1"/>
  <c r="G52" i="5"/>
  <c r="Q50" i="78"/>
  <c r="A51" i="78"/>
  <c r="A63" i="104"/>
  <c r="BJ62" i="104"/>
  <c r="A110" i="75"/>
  <c r="J109" i="75"/>
  <c r="A32" i="84"/>
  <c r="Q31" i="84"/>
  <c r="A74" i="75"/>
  <c r="J73" i="75"/>
  <c r="A65" i="5"/>
  <c r="L64" i="5"/>
  <c r="F108" i="75"/>
  <c r="E109" i="75"/>
  <c r="H30" i="75"/>
  <c r="H68" i="75"/>
  <c r="I67" i="75"/>
  <c r="I30" i="75" s="1"/>
  <c r="A36" i="90"/>
  <c r="F35" i="90"/>
  <c r="D37" i="90"/>
  <c r="A111" i="75" l="1"/>
  <c r="J110" i="75"/>
  <c r="N157" i="80"/>
  <c r="A158" i="80"/>
  <c r="E120" i="1"/>
  <c r="A73" i="1"/>
  <c r="G72" i="1"/>
  <c r="A39" i="75"/>
  <c r="J39" i="75" s="1"/>
  <c r="J38" i="75"/>
  <c r="A66" i="5"/>
  <c r="L65" i="5"/>
  <c r="A64" i="104"/>
  <c r="BJ63" i="104"/>
  <c r="A52" i="78"/>
  <c r="Q51" i="78"/>
  <c r="H69" i="75"/>
  <c r="H31" i="75"/>
  <c r="I68" i="75"/>
  <c r="I31" i="75" s="1"/>
  <c r="A75" i="75"/>
  <c r="J74" i="75"/>
  <c r="E74" i="75"/>
  <c r="F73" i="75"/>
  <c r="E36" i="75"/>
  <c r="K52" i="5"/>
  <c r="I53" i="5" s="1"/>
  <c r="J53" i="5" s="1"/>
  <c r="G53" i="5"/>
  <c r="H106" i="75"/>
  <c r="I105" i="75"/>
  <c r="F36" i="90"/>
  <c r="A37" i="90"/>
  <c r="E73" i="1"/>
  <c r="BH64" i="103"/>
  <c r="A65" i="103"/>
  <c r="F109" i="75"/>
  <c r="E110" i="75"/>
  <c r="A33" i="84"/>
  <c r="Q32" i="84"/>
  <c r="A40" i="90" l="1"/>
  <c r="F37" i="90"/>
  <c r="F36" i="75"/>
  <c r="A34" i="84"/>
  <c r="Q33" i="84"/>
  <c r="A53" i="78"/>
  <c r="Q52" i="78"/>
  <c r="G73" i="1"/>
  <c r="E131" i="1"/>
  <c r="F74" i="75"/>
  <c r="E75" i="75"/>
  <c r="E37" i="75"/>
  <c r="A65" i="104"/>
  <c r="BJ64" i="104"/>
  <c r="A159" i="80"/>
  <c r="N158" i="80"/>
  <c r="A76" i="75"/>
  <c r="J76" i="75" s="1"/>
  <c r="J75" i="75"/>
  <c r="A67" i="5"/>
  <c r="L66" i="5"/>
  <c r="H107" i="75"/>
  <c r="I106" i="75"/>
  <c r="A66" i="103"/>
  <c r="BH65" i="103"/>
  <c r="A112" i="75"/>
  <c r="J112" i="75" s="1"/>
  <c r="J111" i="75"/>
  <c r="F110" i="75"/>
  <c r="E111" i="75"/>
  <c r="K53" i="5"/>
  <c r="I54" i="5" s="1"/>
  <c r="J54" i="5" s="1"/>
  <c r="G54" i="5"/>
  <c r="H70" i="75"/>
  <c r="H32" i="75"/>
  <c r="I69" i="75"/>
  <c r="I32" i="75" s="1"/>
  <c r="A66" i="104" l="1"/>
  <c r="BJ65" i="104"/>
  <c r="A54" i="78"/>
  <c r="Q53" i="78"/>
  <c r="C47" i="90"/>
  <c r="C49" i="90" s="1"/>
  <c r="F75" i="75"/>
  <c r="E38" i="75"/>
  <c r="E39" i="75" s="1"/>
  <c r="E76" i="75"/>
  <c r="A35" i="84"/>
  <c r="Q34" i="84"/>
  <c r="L67" i="5"/>
  <c r="A68" i="5"/>
  <c r="F37" i="75"/>
  <c r="H108" i="75"/>
  <c r="I107" i="75"/>
  <c r="H33" i="75"/>
  <c r="H71" i="75"/>
  <c r="I70" i="75"/>
  <c r="I33" i="75" s="1"/>
  <c r="C48" i="90"/>
  <c r="C50" i="90" s="1"/>
  <c r="F111" i="75"/>
  <c r="E112" i="75"/>
  <c r="K54" i="5"/>
  <c r="I55" i="5" s="1"/>
  <c r="J55" i="5" s="1"/>
  <c r="G55" i="5"/>
  <c r="A67" i="103"/>
  <c r="BH66" i="103"/>
  <c r="N159" i="80"/>
  <c r="A160" i="80"/>
  <c r="A41" i="90"/>
  <c r="F40" i="90"/>
  <c r="H109" i="75" l="1"/>
  <c r="I108" i="75"/>
  <c r="F38" i="75"/>
  <c r="F40" i="75" s="1"/>
  <c r="D26" i="2" s="1"/>
  <c r="D43" i="90"/>
  <c r="A42" i="90"/>
  <c r="F41" i="90"/>
  <c r="B141" i="5"/>
  <c r="L68" i="5"/>
  <c r="B144" i="5"/>
  <c r="C52" i="90"/>
  <c r="D6" i="92" s="1"/>
  <c r="C53" i="90"/>
  <c r="E6" i="92" s="1"/>
  <c r="C51" i="90"/>
  <c r="Q54" i="78"/>
  <c r="A55" i="78"/>
  <c r="A68" i="103"/>
  <c r="BH67" i="103"/>
  <c r="A36" i="84"/>
  <c r="Q35" i="84"/>
  <c r="A161" i="80"/>
  <c r="N160" i="80"/>
  <c r="H34" i="75"/>
  <c r="H72" i="75"/>
  <c r="I71" i="75"/>
  <c r="I34" i="75" s="1"/>
  <c r="K55" i="5"/>
  <c r="I56" i="5" s="1"/>
  <c r="J56" i="5" s="1"/>
  <c r="G56" i="5"/>
  <c r="A67" i="104"/>
  <c r="BJ66" i="104"/>
  <c r="A56" i="78" l="1"/>
  <c r="Q55" i="78"/>
  <c r="A43" i="90"/>
  <c r="F42" i="90"/>
  <c r="D44" i="90"/>
  <c r="E37" i="92"/>
  <c r="E53" i="92"/>
  <c r="E40" i="92"/>
  <c r="E43" i="92"/>
  <c r="E46" i="92"/>
  <c r="E38" i="92"/>
  <c r="E47" i="92"/>
  <c r="E44" i="92"/>
  <c r="E36" i="92"/>
  <c r="E28" i="92"/>
  <c r="E30" i="92"/>
  <c r="E27" i="92"/>
  <c r="E18" i="92"/>
  <c r="E29" i="92"/>
  <c r="A69" i="103"/>
  <c r="BH68" i="103"/>
  <c r="D47" i="92"/>
  <c r="D37" i="92"/>
  <c r="F37" i="92" s="1"/>
  <c r="D53" i="92"/>
  <c r="D40" i="92"/>
  <c r="F40" i="92" s="1"/>
  <c r="D43" i="92"/>
  <c r="F43" i="92" s="1"/>
  <c r="D38" i="92"/>
  <c r="F38" i="92" s="1"/>
  <c r="D46" i="92"/>
  <c r="D44" i="92"/>
  <c r="D36" i="92"/>
  <c r="D28" i="92"/>
  <c r="F28" i="92" s="1"/>
  <c r="D30" i="92"/>
  <c r="F30" i="92" s="1"/>
  <c r="D27" i="92"/>
  <c r="F27" i="92" s="1"/>
  <c r="D18" i="92"/>
  <c r="D29" i="92"/>
  <c r="F29" i="92" s="1"/>
  <c r="N161" i="80"/>
  <c r="A163" i="80"/>
  <c r="G57" i="5"/>
  <c r="K56" i="5"/>
  <c r="I57" i="5" s="1"/>
  <c r="J57" i="5" s="1"/>
  <c r="H73" i="75"/>
  <c r="H35" i="75"/>
  <c r="I72" i="75"/>
  <c r="I35" i="75" s="1"/>
  <c r="A68" i="104"/>
  <c r="BJ67" i="104"/>
  <c r="A37" i="84"/>
  <c r="Q37" i="84" s="1"/>
  <c r="Q36" i="84"/>
  <c r="H110" i="75"/>
  <c r="I109" i="75"/>
  <c r="F53" i="92" l="1"/>
  <c r="F44" i="92"/>
  <c r="A69" i="104"/>
  <c r="BJ68" i="104"/>
  <c r="A70" i="103"/>
  <c r="BH69" i="103"/>
  <c r="F18" i="92"/>
  <c r="E20" i="92"/>
  <c r="E32" i="92" s="1"/>
  <c r="E42" i="92" s="1"/>
  <c r="E48" i="92" s="1"/>
  <c r="G58" i="5"/>
  <c r="K57" i="5"/>
  <c r="I58" i="5" s="1"/>
  <c r="J58" i="5" s="1"/>
  <c r="D19" i="92"/>
  <c r="F19" i="92" s="1"/>
  <c r="F36" i="92"/>
  <c r="A44" i="90"/>
  <c r="F43" i="90"/>
  <c r="H111" i="75"/>
  <c r="I111" i="75" s="1"/>
  <c r="I112" i="75" s="1"/>
  <c r="I110" i="75"/>
  <c r="N163" i="80"/>
  <c r="A164" i="80"/>
  <c r="F47" i="92"/>
  <c r="H36" i="75"/>
  <c r="H74" i="75"/>
  <c r="I73" i="75"/>
  <c r="I36" i="75" s="1"/>
  <c r="F46" i="92"/>
  <c r="E19" i="92"/>
  <c r="A57" i="78"/>
  <c r="Q56" i="78"/>
  <c r="E50" i="92" l="1"/>
  <c r="K58" i="5"/>
  <c r="I59" i="5" s="1"/>
  <c r="J59" i="5" s="1"/>
  <c r="G59" i="5"/>
  <c r="D20" i="92"/>
  <c r="D32" i="92" s="1"/>
  <c r="D42" i="92" s="1"/>
  <c r="A47" i="90"/>
  <c r="F44" i="90"/>
  <c r="F20" i="92"/>
  <c r="F32" i="92" s="1"/>
  <c r="A71" i="103"/>
  <c r="BH70" i="103"/>
  <c r="A168" i="80"/>
  <c r="N164" i="80"/>
  <c r="E27" i="2"/>
  <c r="H75" i="75"/>
  <c r="H37" i="75"/>
  <c r="I74" i="75"/>
  <c r="I37" i="75" s="1"/>
  <c r="A58" i="78"/>
  <c r="Q57" i="78"/>
  <c r="BJ69" i="104"/>
  <c r="A70" i="104"/>
  <c r="H38" i="75" l="1"/>
  <c r="I75" i="75"/>
  <c r="F47" i="90"/>
  <c r="A48" i="90"/>
  <c r="D49" i="90"/>
  <c r="F42" i="92"/>
  <c r="D48" i="92"/>
  <c r="K59" i="5"/>
  <c r="I60" i="5" s="1"/>
  <c r="J60" i="5" s="1"/>
  <c r="G60" i="5"/>
  <c r="A71" i="104"/>
  <c r="BJ70" i="104"/>
  <c r="N168" i="80"/>
  <c r="A169" i="80"/>
  <c r="Q58" i="78"/>
  <c r="A59" i="78"/>
  <c r="A72" i="103"/>
  <c r="BH71" i="103"/>
  <c r="BH72" i="103" l="1"/>
  <c r="A73" i="103"/>
  <c r="F48" i="90"/>
  <c r="A49" i="90"/>
  <c r="D50" i="90"/>
  <c r="A60" i="78"/>
  <c r="Q59" i="78"/>
  <c r="F48" i="92"/>
  <c r="D50" i="92"/>
  <c r="F50" i="92" s="1"/>
  <c r="A170" i="80"/>
  <c r="N169" i="80"/>
  <c r="I38" i="75"/>
  <c r="I39" i="75" s="1"/>
  <c r="D22" i="2" s="1"/>
  <c r="D25" i="2" s="1"/>
  <c r="D28" i="2" s="1"/>
  <c r="D32" i="2" s="1"/>
  <c r="D34" i="2" s="1"/>
  <c r="D149" i="1" s="1"/>
  <c r="I76" i="75"/>
  <c r="A72" i="104"/>
  <c r="BJ71" i="104"/>
  <c r="K60" i="5"/>
  <c r="I61" i="5" s="1"/>
  <c r="J61" i="5" s="1"/>
  <c r="G61" i="5"/>
  <c r="A61" i="78" l="1"/>
  <c r="Q60" i="78"/>
  <c r="A50" i="90"/>
  <c r="D51" i="90" s="1"/>
  <c r="F49" i="90"/>
  <c r="D151" i="1"/>
  <c r="D52" i="92"/>
  <c r="D55" i="92" s="1"/>
  <c r="E52" i="92"/>
  <c r="E55" i="92" s="1"/>
  <c r="A171" i="80"/>
  <c r="N170" i="80"/>
  <c r="A73" i="104"/>
  <c r="BJ72" i="104"/>
  <c r="K61" i="5"/>
  <c r="I62" i="5" s="1"/>
  <c r="J62" i="5" s="1"/>
  <c r="G62" i="5"/>
  <c r="A74" i="103"/>
  <c r="BH73" i="103"/>
  <c r="F52" i="92" l="1"/>
  <c r="F55" i="92"/>
  <c r="D157" i="1"/>
  <c r="D159" i="1"/>
  <c r="G63" i="5"/>
  <c r="K62" i="5"/>
  <c r="I63" i="5" s="1"/>
  <c r="J63" i="5" s="1"/>
  <c r="A74" i="104"/>
  <c r="BJ73" i="104"/>
  <c r="A51" i="90"/>
  <c r="F50" i="90"/>
  <c r="A172" i="80"/>
  <c r="N171" i="80"/>
  <c r="A75" i="103"/>
  <c r="BH74" i="103"/>
  <c r="A62" i="78"/>
  <c r="Q61" i="78"/>
  <c r="A52" i="90" l="1"/>
  <c r="F51" i="90"/>
  <c r="D52" i="90"/>
  <c r="D53" i="90"/>
  <c r="A75" i="104"/>
  <c r="BJ74" i="104"/>
  <c r="G64" i="5"/>
  <c r="K63" i="5"/>
  <c r="I64" i="5" s="1"/>
  <c r="J64" i="5" s="1"/>
  <c r="Q62" i="78"/>
  <c r="A63" i="78"/>
  <c r="A76" i="103"/>
  <c r="BH75" i="103"/>
  <c r="N172" i="80"/>
  <c r="A173" i="80"/>
  <c r="D160" i="1"/>
  <c r="M56" i="106" s="1"/>
  <c r="A174" i="80" l="1"/>
  <c r="N173" i="80"/>
  <c r="A76" i="104"/>
  <c r="BJ75" i="104"/>
  <c r="M42" i="106"/>
  <c r="M51" i="106"/>
  <c r="F47" i="105" s="1"/>
  <c r="M26" i="106"/>
  <c r="F25" i="105" s="1"/>
  <c r="M12" i="106"/>
  <c r="F11" i="105" s="1"/>
  <c r="M32" i="106"/>
  <c r="F31" i="105" s="1"/>
  <c r="J31" i="105" s="1"/>
  <c r="M14" i="106"/>
  <c r="F13" i="105" s="1"/>
  <c r="M24" i="106"/>
  <c r="F23" i="105" s="1"/>
  <c r="J23" i="105" s="1"/>
  <c r="M40" i="106"/>
  <c r="F39" i="105" s="1"/>
  <c r="J39" i="105" s="1"/>
  <c r="G65" i="5"/>
  <c r="K64" i="5"/>
  <c r="I65" i="5" s="1"/>
  <c r="J65" i="5" s="1"/>
  <c r="A77" i="103"/>
  <c r="BH76" i="103"/>
  <c r="A64" i="78"/>
  <c r="Q63" i="78"/>
  <c r="F52" i="90"/>
  <c r="A53" i="90"/>
  <c r="J46" i="105" l="1"/>
  <c r="J44" i="105"/>
  <c r="E57" i="92"/>
  <c r="E59" i="92" s="1"/>
  <c r="C10" i="93" s="1"/>
  <c r="C12" i="93" s="1"/>
  <c r="D57" i="92"/>
  <c r="J25" i="105"/>
  <c r="M25" i="105"/>
  <c r="G66" i="5"/>
  <c r="K65" i="5"/>
  <c r="I66" i="5" s="1"/>
  <c r="J66" i="5" s="1"/>
  <c r="M54" i="106"/>
  <c r="F49" i="105"/>
  <c r="M49" i="105" s="1"/>
  <c r="M11" i="105"/>
  <c r="J11" i="105"/>
  <c r="A78" i="103"/>
  <c r="BH77" i="103"/>
  <c r="A56" i="90"/>
  <c r="F53" i="90"/>
  <c r="M21" i="105"/>
  <c r="M17" i="105"/>
  <c r="M15" i="105"/>
  <c r="M19" i="105"/>
  <c r="BJ76" i="104"/>
  <c r="A77" i="104"/>
  <c r="M35" i="105"/>
  <c r="M37" i="105"/>
  <c r="M33" i="105"/>
  <c r="M13" i="105"/>
  <c r="J13" i="105"/>
  <c r="A65" i="78"/>
  <c r="Q64" i="78"/>
  <c r="M27" i="105"/>
  <c r="M29" i="105"/>
  <c r="N174" i="80"/>
  <c r="A175" i="80"/>
  <c r="K66" i="5" l="1"/>
  <c r="I67" i="5" s="1"/>
  <c r="J67" i="5" s="1"/>
  <c r="G67" i="5"/>
  <c r="A57" i="90"/>
  <c r="F56" i="90"/>
  <c r="F40" i="82"/>
  <c r="D59" i="92"/>
  <c r="C5" i="93" s="1"/>
  <c r="C7" i="93" s="1"/>
  <c r="F57" i="92"/>
  <c r="F59" i="92" s="1"/>
  <c r="A66" i="78"/>
  <c r="Q65" i="78"/>
  <c r="BJ77" i="104"/>
  <c r="A78" i="104"/>
  <c r="A79" i="103"/>
  <c r="BH78" i="103"/>
  <c r="A176" i="80"/>
  <c r="N175" i="80"/>
  <c r="M45" i="105"/>
  <c r="M47" i="105"/>
  <c r="M41" i="105"/>
  <c r="M43" i="105"/>
  <c r="Q66" i="78" l="1"/>
  <c r="A67" i="78"/>
  <c r="N176" i="80"/>
  <c r="A177" i="80"/>
  <c r="A80" i="103"/>
  <c r="BH79" i="103"/>
  <c r="A79" i="104"/>
  <c r="BJ78" i="104"/>
  <c r="A60" i="90"/>
  <c r="F57" i="90"/>
  <c r="K67" i="5"/>
  <c r="I68" i="5" s="1"/>
  <c r="J68" i="5" s="1"/>
  <c r="G68" i="5"/>
  <c r="BH80" i="103" l="1"/>
  <c r="A81" i="103"/>
  <c r="A80" i="104"/>
  <c r="BJ79" i="104"/>
  <c r="A178" i="80"/>
  <c r="N177" i="80"/>
  <c r="A68" i="78"/>
  <c r="Q67" i="78"/>
  <c r="K68" i="5"/>
  <c r="D79" i="5" s="1"/>
  <c r="A61" i="90"/>
  <c r="F60" i="90"/>
  <c r="A179" i="80" l="1"/>
  <c r="N178" i="80"/>
  <c r="A69" i="78"/>
  <c r="Q68" i="78"/>
  <c r="A62" i="90"/>
  <c r="F61" i="90"/>
  <c r="A82" i="103"/>
  <c r="BH81" i="103"/>
  <c r="A81" i="104"/>
  <c r="BJ80" i="104"/>
  <c r="F79" i="5"/>
  <c r="G79" i="5" s="1"/>
  <c r="I79" i="5" s="1"/>
  <c r="D80" i="5" s="1"/>
  <c r="F80" i="5" l="1"/>
  <c r="G80" i="5" s="1"/>
  <c r="I80" i="5" s="1"/>
  <c r="D81" i="5" s="1"/>
  <c r="A63" i="90"/>
  <c r="F62" i="90"/>
  <c r="A83" i="103"/>
  <c r="BH82" i="103"/>
  <c r="A70" i="78"/>
  <c r="Q69" i="78"/>
  <c r="BJ81" i="104"/>
  <c r="A82" i="104"/>
  <c r="A180" i="80"/>
  <c r="N179" i="80"/>
  <c r="A84" i="103" l="1"/>
  <c r="BH83" i="103"/>
  <c r="A64" i="90"/>
  <c r="F64" i="90" s="1"/>
  <c r="F63" i="90"/>
  <c r="F81" i="5"/>
  <c r="G81" i="5" s="1"/>
  <c r="I81" i="5" s="1"/>
  <c r="D82" i="5" s="1"/>
  <c r="Q70" i="78"/>
  <c r="A71" i="78"/>
  <c r="N180" i="80"/>
  <c r="A181" i="80"/>
  <c r="BJ82" i="104"/>
  <c r="A83" i="104"/>
  <c r="F82" i="5" l="1"/>
  <c r="G82" i="5" s="1"/>
  <c r="I82" i="5" s="1"/>
  <c r="D83" i="5" s="1"/>
  <c r="A84" i="104"/>
  <c r="BJ83" i="104"/>
  <c r="A182" i="80"/>
  <c r="N181" i="80"/>
  <c r="A72" i="78"/>
  <c r="Q71" i="78"/>
  <c r="A85" i="103"/>
  <c r="BH84" i="103"/>
  <c r="F83" i="5" l="1"/>
  <c r="G83" i="5" s="1"/>
  <c r="I83" i="5" s="1"/>
  <c r="D84" i="5" s="1"/>
  <c r="N182" i="80"/>
  <c r="A183" i="80"/>
  <c r="N183" i="80" s="1"/>
  <c r="A73" i="78"/>
  <c r="Q72" i="78"/>
  <c r="BJ84" i="104"/>
  <c r="A85" i="104"/>
  <c r="A86" i="103"/>
  <c r="BH85" i="103"/>
  <c r="F84" i="5" l="1"/>
  <c r="G84" i="5" s="1"/>
  <c r="I84" i="5" s="1"/>
  <c r="D85" i="5" s="1"/>
  <c r="A74" i="78"/>
  <c r="Q73" i="78"/>
  <c r="BJ85" i="104"/>
  <c r="A86" i="104"/>
  <c r="A87" i="103"/>
  <c r="BH86" i="103"/>
  <c r="F85" i="5" l="1"/>
  <c r="G85" i="5" s="1"/>
  <c r="I85" i="5" s="1"/>
  <c r="D86" i="5" s="1"/>
  <c r="A87" i="104"/>
  <c r="BJ86" i="104"/>
  <c r="A88" i="103"/>
  <c r="BH87" i="103"/>
  <c r="Q74" i="78"/>
  <c r="A75" i="78"/>
  <c r="A76" i="78" s="1"/>
  <c r="F86" i="5" l="1"/>
  <c r="G86" i="5" s="1"/>
  <c r="I86" i="5" s="1"/>
  <c r="D87" i="5" s="1"/>
  <c r="BH88" i="103"/>
  <c r="A89" i="103"/>
  <c r="A88" i="104"/>
  <c r="BJ87" i="104"/>
  <c r="F87" i="5" l="1"/>
  <c r="G87" i="5" s="1"/>
  <c r="I87" i="5" s="1"/>
  <c r="D88" i="5" s="1"/>
  <c r="A89" i="104"/>
  <c r="BJ88" i="104"/>
  <c r="A90" i="103"/>
  <c r="BH89" i="103"/>
  <c r="F88" i="5" l="1"/>
  <c r="G88" i="5" s="1"/>
  <c r="I88" i="5" s="1"/>
  <c r="D89" i="5" s="1"/>
  <c r="A91" i="103"/>
  <c r="BH90" i="103"/>
  <c r="BJ89" i="104"/>
  <c r="A90" i="104"/>
  <c r="A91" i="104" l="1"/>
  <c r="BJ90" i="104"/>
  <c r="A92" i="103"/>
  <c r="BH91" i="103"/>
  <c r="F89" i="5"/>
  <c r="G89" i="5" s="1"/>
  <c r="I89" i="5" s="1"/>
  <c r="D90" i="5" s="1"/>
  <c r="F90" i="5" l="1"/>
  <c r="G90" i="5" s="1"/>
  <c r="I90" i="5" s="1"/>
  <c r="A93" i="103"/>
  <c r="BH92" i="103"/>
  <c r="A92" i="104"/>
  <c r="BJ91" i="104"/>
  <c r="A93" i="104" l="1"/>
  <c r="BJ92" i="104"/>
  <c r="A94" i="103"/>
  <c r="BH93" i="103"/>
  <c r="A95" i="103" l="1"/>
  <c r="BH94" i="103"/>
  <c r="BJ93" i="104"/>
  <c r="A94" i="104"/>
  <c r="A95" i="104" l="1"/>
  <c r="BJ94" i="104"/>
  <c r="A96" i="103"/>
  <c r="BH95" i="103"/>
  <c r="BH96" i="103" l="1"/>
  <c r="A97" i="103"/>
  <c r="A96" i="104"/>
  <c r="BJ95" i="104"/>
  <c r="A97" i="104" l="1"/>
  <c r="BJ96" i="104"/>
  <c r="A98" i="103"/>
  <c r="BH97" i="103"/>
  <c r="A99" i="103" l="1"/>
  <c r="BH99" i="103" s="1"/>
  <c r="BH98" i="103"/>
  <c r="A98" i="104"/>
  <c r="BJ97" i="104"/>
  <c r="A99" i="104" l="1"/>
  <c r="BJ99" i="104" s="1"/>
  <c r="BJ98" i="104"/>
</calcChain>
</file>

<file path=xl/sharedStrings.xml><?xml version="1.0" encoding="utf-8"?>
<sst xmlns="http://schemas.openxmlformats.org/spreadsheetml/2006/main" count="5188" uniqueCount="2056">
  <si>
    <t>Rate Base</t>
  </si>
  <si>
    <t>Transmission Plant</t>
  </si>
  <si>
    <t>Common + General + Intangible Plant</t>
  </si>
  <si>
    <t>Abandoned Plant</t>
  </si>
  <si>
    <t>Plant</t>
  </si>
  <si>
    <t>Working Capital</t>
  </si>
  <si>
    <t>Materials and Supplies</t>
  </si>
  <si>
    <t>Cash Working Capital</t>
  </si>
  <si>
    <t>Transmission Depreciation Reserve</t>
  </si>
  <si>
    <t>Accumulated Depreciation Reserve</t>
  </si>
  <si>
    <t>Accumulated Deferred Income Taxes</t>
  </si>
  <si>
    <t>Notes</t>
  </si>
  <si>
    <t>Total Plant</t>
  </si>
  <si>
    <t>Total Working Capital</t>
  </si>
  <si>
    <t>Total Accumulated Depreciation Reserve</t>
  </si>
  <si>
    <t>Customer Advances</t>
  </si>
  <si>
    <t>Other Regulatory Assets or Liabilities</t>
  </si>
  <si>
    <t>Common + General + Intangible Depreciation Reserve</t>
  </si>
  <si>
    <t>Other Taxes</t>
  </si>
  <si>
    <t>Property Taxes</t>
  </si>
  <si>
    <t>Sub-Total Local Taxes</t>
  </si>
  <si>
    <t>Payroll Tax Expense</t>
  </si>
  <si>
    <t>Fed Ins Cont Amt -- Current</t>
  </si>
  <si>
    <t>CA SUI Current</t>
  </si>
  <si>
    <t>Fed Unemp Tax Act- Current</t>
  </si>
  <si>
    <t xml:space="preserve">SF Pyrl Exp Tx </t>
  </si>
  <si>
    <t>Total Electric Payroll Tax Expense</t>
  </si>
  <si>
    <t>Total Other Taxes</t>
  </si>
  <si>
    <t>Total Transmission Payroll Tax Expense</t>
  </si>
  <si>
    <t>Total Transmission Property Taxes</t>
  </si>
  <si>
    <t>Debt</t>
  </si>
  <si>
    <t>Long Term Debt Amount</t>
  </si>
  <si>
    <t xml:space="preserve">Long Term Debt Cost Percentage </t>
  </si>
  <si>
    <t>Cost of Long Term Debt</t>
  </si>
  <si>
    <t>Preferred Stock</t>
  </si>
  <si>
    <t>Preferred Stock Amount</t>
  </si>
  <si>
    <t>Cost of Preferred Stock</t>
  </si>
  <si>
    <t>Preferred Stock Cost Percentage</t>
  </si>
  <si>
    <t>Equity</t>
  </si>
  <si>
    <t>Common Stock Equity Amount</t>
  </si>
  <si>
    <t>Total Capital</t>
  </si>
  <si>
    <t>Capital Percentages</t>
  </si>
  <si>
    <t>Long Term Debt Capital Percentage</t>
  </si>
  <si>
    <t>Preferred Stock Capital Percentage</t>
  </si>
  <si>
    <t>Common Stock Capital Percentage</t>
  </si>
  <si>
    <t>Annual Cost of Capital Components</t>
  </si>
  <si>
    <t>Long Term Debt Cost Percentage</t>
  </si>
  <si>
    <t>Calculation of Cost of Capital Rate</t>
  </si>
  <si>
    <t>Weighted Cost of Long Term Debt</t>
  </si>
  <si>
    <t>Weighted Cost of Preferred Stock</t>
  </si>
  <si>
    <t>Weighted Cost of Common Stock</t>
  </si>
  <si>
    <t>Cost of Capital Rate</t>
  </si>
  <si>
    <t xml:space="preserve">Equity Rate of Return Including Common and Preferred Stock </t>
  </si>
  <si>
    <t>Return on Capital: Rate Base times Cost of Capital Rate</t>
  </si>
  <si>
    <t>Source</t>
  </si>
  <si>
    <t>Income Taxes</t>
  </si>
  <si>
    <t>Federal Income Tax Rate</t>
  </si>
  <si>
    <t>State Income Tax Rate</t>
  </si>
  <si>
    <t>Composite Tax Rate</t>
  </si>
  <si>
    <t>Credits and Other</t>
  </si>
  <si>
    <t>Income Taxes:</t>
  </si>
  <si>
    <t>Where:</t>
  </si>
  <si>
    <t>RB = Rate Base</t>
  </si>
  <si>
    <t>ER = Equity Rate of Return Including Common and Preferred Stock</t>
  </si>
  <si>
    <t>CTR = Composite Tax Rate</t>
  </si>
  <si>
    <t>CO = Credits and Other</t>
  </si>
  <si>
    <t>O&amp;M Expense</t>
  </si>
  <si>
    <t>A&amp;G Expense</t>
  </si>
  <si>
    <t>Network Upgrade Interest Expense</t>
  </si>
  <si>
    <t>Abandoned Plant Amortization Expense</t>
  </si>
  <si>
    <t>Revenue Credits</t>
  </si>
  <si>
    <t>Return on Capital</t>
  </si>
  <si>
    <t>Amortization and Regulatory Debits/Credits</t>
  </si>
  <si>
    <t>SFGR Tax and Franchise Fees</t>
  </si>
  <si>
    <t>Determination of Net Plant:</t>
  </si>
  <si>
    <t>Net Plant:</t>
  </si>
  <si>
    <t>AFCR:</t>
  </si>
  <si>
    <t>Forecast Plant Additions:</t>
  </si>
  <si>
    <t>Incremental Forecast Period TRR:</t>
  </si>
  <si>
    <t>Total without FF, Uncollectibles, and South Georgia</t>
  </si>
  <si>
    <t>Values</t>
  </si>
  <si>
    <t>True-up Transmission Revenue Requirement</t>
  </si>
  <si>
    <t>Month</t>
  </si>
  <si>
    <t>Distribution</t>
  </si>
  <si>
    <t>Generation</t>
  </si>
  <si>
    <t>Other</t>
  </si>
  <si>
    <t>Jan</t>
  </si>
  <si>
    <t>Feb</t>
  </si>
  <si>
    <t>Mar</t>
  </si>
  <si>
    <t>Apr</t>
  </si>
  <si>
    <t>May</t>
  </si>
  <si>
    <t>Jun</t>
  </si>
  <si>
    <t>Jul</t>
  </si>
  <si>
    <t>Aug</t>
  </si>
  <si>
    <t>Sep</t>
  </si>
  <si>
    <t>Oct</t>
  </si>
  <si>
    <t>Nov</t>
  </si>
  <si>
    <t>Dec</t>
  </si>
  <si>
    <t>Totals:</t>
  </si>
  <si>
    <t>True Up TRR:</t>
  </si>
  <si>
    <t>Col 1</t>
  </si>
  <si>
    <t>Col 2</t>
  </si>
  <si>
    <t>Col 3</t>
  </si>
  <si>
    <t>Col 4</t>
  </si>
  <si>
    <t>Col 5</t>
  </si>
  <si>
    <t>Col 6</t>
  </si>
  <si>
    <t>Col 7</t>
  </si>
  <si>
    <t>Col 8</t>
  </si>
  <si>
    <t>Col 9</t>
  </si>
  <si>
    <t>Monthly</t>
  </si>
  <si>
    <t>Interest</t>
  </si>
  <si>
    <t>Year</t>
  </si>
  <si>
    <t>with Interest</t>
  </si>
  <si>
    <t>December</t>
  </si>
  <si>
    <t>January</t>
  </si>
  <si>
    <t>February</t>
  </si>
  <si>
    <t>March</t>
  </si>
  <si>
    <t>April</t>
  </si>
  <si>
    <t xml:space="preserve">June </t>
  </si>
  <si>
    <t>July</t>
  </si>
  <si>
    <t>August</t>
  </si>
  <si>
    <t>September</t>
  </si>
  <si>
    <t>October</t>
  </si>
  <si>
    <t>November</t>
  </si>
  <si>
    <t>Line</t>
  </si>
  <si>
    <t>Note 1</t>
  </si>
  <si>
    <t>Note 2</t>
  </si>
  <si>
    <t>Notes:</t>
  </si>
  <si>
    <t>Prior Year:</t>
  </si>
  <si>
    <t>Description</t>
  </si>
  <si>
    <t>Prior Year TRR Components</t>
  </si>
  <si>
    <t>Prior Year TRR</t>
  </si>
  <si>
    <t>NP&amp;S Credit</t>
  </si>
  <si>
    <t>Base Transmission Revenue Requirement</t>
  </si>
  <si>
    <t>Prior Year</t>
  </si>
  <si>
    <t>Instructions:</t>
  </si>
  <si>
    <t>Book Depreciation of AFUDC Equity Book Basis</t>
  </si>
  <si>
    <t>Federal and State Tax Credits</t>
  </si>
  <si>
    <t>Calculation of Credits and Other (CO):</t>
  </si>
  <si>
    <t>FPD = Flowback and Permanent Tax Deductions</t>
  </si>
  <si>
    <t>Flowthrough and Permanent Tax Deductions</t>
  </si>
  <si>
    <t>SFGR Tax Factor</t>
  </si>
  <si>
    <t>Depreciation Expense (incl. Common + General + Intangible)</t>
  </si>
  <si>
    <t>Balance</t>
  </si>
  <si>
    <t>Prepayments</t>
  </si>
  <si>
    <t>Allocation Factor</t>
  </si>
  <si>
    <t>Franchise Fees Factor</t>
  </si>
  <si>
    <t>Total SFGR Tax and Franchise Fees</t>
  </si>
  <si>
    <t>Retail (South Georgia) Tax Adjustment</t>
  </si>
  <si>
    <t>Accrued Vacation</t>
  </si>
  <si>
    <t>ITRR</t>
  </si>
  <si>
    <t>Wholesale Base Transmission Revenue Requirement</t>
  </si>
  <si>
    <t>2) Calculation of ITRR</t>
  </si>
  <si>
    <t>Incremental Transmission Revenue Requirement</t>
  </si>
  <si>
    <t>AFCR = Prior Year TRR / Net Plant</t>
  </si>
  <si>
    <t>Determination of AFCR:</t>
  </si>
  <si>
    <t>ITRR without RF&amp;U:</t>
  </si>
  <si>
    <t>Prior Year TRR wo RF&amp;U:</t>
  </si>
  <si>
    <t>13-Month Avg</t>
  </si>
  <si>
    <t>Business Taxes</t>
  </si>
  <si>
    <t>Uncollectibles Factor</t>
  </si>
  <si>
    <t>End of Year Value</t>
  </si>
  <si>
    <t>Pacific Gas and Electric Company</t>
  </si>
  <si>
    <t>N/A</t>
  </si>
  <si>
    <t>Rate Year:</t>
  </si>
  <si>
    <t>Total Revenue</t>
  </si>
  <si>
    <t>Source:</t>
  </si>
  <si>
    <t>Interest Rate</t>
  </si>
  <si>
    <t>Annual True-up Adjustment</t>
  </si>
  <si>
    <t>Note 3</t>
  </si>
  <si>
    <t>Depreciation Expense - Rate Adjustment</t>
  </si>
  <si>
    <t>Note 6</t>
  </si>
  <si>
    <t>Transmission Plant:</t>
  </si>
  <si>
    <t>Transmission Dep. Reserve:</t>
  </si>
  <si>
    <t>Retail Base Transmission Revenue Requirement</t>
  </si>
  <si>
    <t>1) Rate Base</t>
  </si>
  <si>
    <t>2) ROE and Capitalization Calculations</t>
  </si>
  <si>
    <t>3) Other Taxes</t>
  </si>
  <si>
    <t>4) Income Taxes</t>
  </si>
  <si>
    <t>5) Prior Year Transmission Revenue Requirement</t>
  </si>
  <si>
    <t>6) Wholesale Base Transmission Revenue Requirement</t>
  </si>
  <si>
    <t>7) Base Transmission Revenue Requirement</t>
  </si>
  <si>
    <t>1) Annual Fixed Charge Rate ("AFCR") Calculation</t>
  </si>
  <si>
    <t>Network Transmission Labor as a % of Total Electric Labor Allocation Factor</t>
  </si>
  <si>
    <t>Total with SFGR Tax and Franchise Fees</t>
  </si>
  <si>
    <t>Uncollectibles and Retail (South Georgia) Tax Adjustment</t>
  </si>
  <si>
    <t>3) Income Taxes</t>
  </si>
  <si>
    <t>4) True-up Transmission Revenue Requirement</t>
  </si>
  <si>
    <t>Negative Value</t>
  </si>
  <si>
    <t>Sum of Col 1 to 7</t>
  </si>
  <si>
    <t>Transmission</t>
  </si>
  <si>
    <t>Property Tax Allocation Factor</t>
  </si>
  <si>
    <t>Total with ATA</t>
  </si>
  <si>
    <t>Retail</t>
  </si>
  <si>
    <t>Revenues</t>
  </si>
  <si>
    <t>True-up TRR</t>
  </si>
  <si>
    <t>Input cells are shaded gold</t>
  </si>
  <si>
    <t>ATA that was included in the Prior Year's Rates</t>
  </si>
  <si>
    <t>without Interest</t>
  </si>
  <si>
    <t xml:space="preserve">Monthly Excess or </t>
  </si>
  <si>
    <t>Public Purpose</t>
  </si>
  <si>
    <t>Nuclear</t>
  </si>
  <si>
    <t>Programs</t>
  </si>
  <si>
    <t>Decommissioning</t>
  </si>
  <si>
    <t>Effective?</t>
  </si>
  <si>
    <t>2) Input the monthly FERC interest rates (18 C.F.R. §35.19a) for the corresponding Month and Year into Col 6.</t>
  </si>
  <si>
    <r>
      <rPr>
        <b/>
        <u/>
        <sz val="11"/>
        <color theme="1"/>
        <rFont val="Calibri"/>
        <family val="2"/>
        <scheme val="minor"/>
      </rPr>
      <t>Instructions:</t>
    </r>
    <r>
      <rPr>
        <u/>
        <sz val="11"/>
        <color theme="1"/>
        <rFont val="Calibri"/>
        <family val="2"/>
        <scheme val="minor"/>
      </rPr>
      <t xml:space="preserve"> </t>
    </r>
  </si>
  <si>
    <t>Beginning</t>
  </si>
  <si>
    <t>Amortization</t>
  </si>
  <si>
    <t>Ending Balance</t>
  </si>
  <si>
    <t>Interest for</t>
  </si>
  <si>
    <t>Current Month</t>
  </si>
  <si>
    <t>ATA</t>
  </si>
  <si>
    <t>1) Retail Revenues</t>
  </si>
  <si>
    <t>2) Comparison of Monthly True-Up TRR to Monthly Retail Transmission Revenue</t>
  </si>
  <si>
    <t>6) Final True-up Adjustment</t>
  </si>
  <si>
    <t>Formula Rate</t>
  </si>
  <si>
    <t>Partial Year True-up?</t>
  </si>
  <si>
    <t>Note 4</t>
  </si>
  <si>
    <t>Note 5</t>
  </si>
  <si>
    <t>Note 7</t>
  </si>
  <si>
    <t>Note 8</t>
  </si>
  <si>
    <t>Note 9</t>
  </si>
  <si>
    <t>Note 10</t>
  </si>
  <si>
    <t>Note 11</t>
  </si>
  <si>
    <t>Note 12</t>
  </si>
  <si>
    <t>2) The Final True Up Adjustment shall be calculated using the same methodology as above, with interest through the date of the termination of the Formula Rate.</t>
  </si>
  <si>
    <t>Total Amortization:</t>
  </si>
  <si>
    <t>Accumulated</t>
  </si>
  <si>
    <t>Network Upgrade Credits (Customer Advances)</t>
  </si>
  <si>
    <t>BOY EOY Avg</t>
  </si>
  <si>
    <t>Weighted Average</t>
  </si>
  <si>
    <t>3) Amortization of the Balance of the Cumulative Excess or Shortfall in Revenue with Interest Over the Rate Year</t>
  </si>
  <si>
    <t>4) Annual True-up Adjustment</t>
  </si>
  <si>
    <t>Cumulative Excess</t>
  </si>
  <si>
    <t>Shortfall in Revenue</t>
  </si>
  <si>
    <t>1) PG&amp;E shall calculate the Final True-up Adjustment for the period spanning the day after the period covered by the most recent ATA that was included in the Base TRR to the expiration of the Formula Rate.</t>
  </si>
  <si>
    <t>2) Other Transmission Revenues includes: the Transmission Revenue Balancing Account Adjustment (TRBAA) revenues, the Reliability Services Balancing Account Adjustment (RSBAA) revenues, the End-use Customer Refund Balancing Account Adjustment (ECRBAA) revenues, and the Transmission Access Charge Balancing Account Adjustment (TACBAA) revenues.</t>
  </si>
  <si>
    <t xml:space="preserve">7) Monthly Interest is calculated by summing half of the current month's "Excess or Shortfall in Revenue" with last month's "Cumulative Excess or Shortfall in Revenue with Interest" and multiplying by the result by the current month's FERC interest rate.  </t>
  </si>
  <si>
    <t>8) Accumulated Interest is the sum of the current month's "Monthly Interest" with last month's "Accumulated Interest".</t>
  </si>
  <si>
    <t>6) The monthly FERC interest rate as stated in Instruction 2.</t>
  </si>
  <si>
    <t>Calculation of Flowthrough and Permanent Tax Deductions (FPD):</t>
  </si>
  <si>
    <t>Transmission Owner Tariff</t>
  </si>
  <si>
    <t>Uncollectibles Expense</t>
  </si>
  <si>
    <t>PG&amp;E ROE</t>
  </si>
  <si>
    <t>Appendix VIII: Formula Rate</t>
  </si>
  <si>
    <t>Attachment 2: Model</t>
  </si>
  <si>
    <t>Calculation of Components of Cost of Capital Rate</t>
  </si>
  <si>
    <t>1) Return and Capitalization Calculations</t>
  </si>
  <si>
    <t>Calculation of Long Term Debt Amount</t>
  </si>
  <si>
    <t>Bonds -- Account 221</t>
  </si>
  <si>
    <t>Reacquired Bonds -- Account 222</t>
  </si>
  <si>
    <t>Long Term Debt Advances from Associated Companies -- Account 223</t>
  </si>
  <si>
    <t>Other Long Term Debt -- Account 224</t>
  </si>
  <si>
    <t>Unamortized Premium on Long Term Debt -- Account 225</t>
  </si>
  <si>
    <t>Unamortized Discount on Long Term Debt -- Account 226</t>
  </si>
  <si>
    <t>Unamortized Debt Expenses -- Account 181</t>
  </si>
  <si>
    <t>Unamortized Loss on Reacquired Debt -- Account 189</t>
  </si>
  <si>
    <t xml:space="preserve">After tax amount of Unamortized Loss on Reacquired Debt </t>
  </si>
  <si>
    <t>Calculation of Preferred Stock Amount</t>
  </si>
  <si>
    <t>Preferred Stock Amount -- Account 204</t>
  </si>
  <si>
    <t>Unamortized Issuance Costs</t>
  </si>
  <si>
    <t>Net Gain (Loss) From Purchase and Tender Offers</t>
  </si>
  <si>
    <t>Calculation of Common Stock Equity Amount</t>
  </si>
  <si>
    <t>Total Proprietary Capital</t>
  </si>
  <si>
    <t>Less Preferred Stock Amount</t>
  </si>
  <si>
    <t>Minus Net Gain (Loss) From Purchase and Tender Offers</t>
  </si>
  <si>
    <t>Less Unappropriated Undist. Sub. Earnings -- Acct. 216.1</t>
  </si>
  <si>
    <t>Less Accumulated Other Comprehensive Loss -- Account 219</t>
  </si>
  <si>
    <t>Calculation of 13-Month Average Capitalization Balances</t>
  </si>
  <si>
    <t>1) Enter 13 months of balances for capital structure for Prior Year and December previous to Prior Year in Columns 2-14.  Beginning and End of year amounts in Columns 2 and 14 are from FERC Form 1, as referenced in below notes.</t>
  </si>
  <si>
    <t>Col 10</t>
  </si>
  <si>
    <t>Col 11</t>
  </si>
  <si>
    <t>Col 12</t>
  </si>
  <si>
    <t>Col 13</t>
  </si>
  <si>
    <t>Col 14</t>
  </si>
  <si>
    <t>13-Month Avg.</t>
  </si>
  <si>
    <t>June</t>
  </si>
  <si>
    <t>= Sum (Cols. 2-14)/13</t>
  </si>
  <si>
    <t>Bonds -- Account 221 (Note 1):</t>
  </si>
  <si>
    <t xml:space="preserve">Reacquired Bonds -- Account 222 (Note 2): </t>
  </si>
  <si>
    <t>Long Term Debt Advances from Associated Companies -- Account 223 (Note 3):</t>
  </si>
  <si>
    <t>Other Long Term Debt -- Account 224 (Note 4):</t>
  </si>
  <si>
    <t>Unamortized Premium on Long Term Debt -- Account 225 (Note 5)</t>
  </si>
  <si>
    <t xml:space="preserve">Less Unamortized Discount on Long Term Debt -- Account 226 (Note 6): </t>
  </si>
  <si>
    <t xml:space="preserve">Unamortized Debt Expenses -- Account 181 (Note 7): </t>
  </si>
  <si>
    <t xml:space="preserve">Unamortized Loss on Reacquired Debt -- Account 189 (Note 8): </t>
  </si>
  <si>
    <t>Preferred Stock Amount -- Account 204 (Note 9):</t>
  </si>
  <si>
    <t xml:space="preserve">Unappropriated Undist. Sub. Earnings -- Acct. 216.1 (Note 13): </t>
  </si>
  <si>
    <t xml:space="preserve">Accumulated Other Comprehensive Loss -- Account 219 (Note 14): </t>
  </si>
  <si>
    <t>1) Calculation of Cost of Long Term Debt</t>
  </si>
  <si>
    <t>Long-Term Debt Component - Denominator:</t>
  </si>
  <si>
    <t>(Plus) Bonds (Acct. 221)</t>
  </si>
  <si>
    <t>(Less) Reacquired Bonds (Acct. 222)</t>
  </si>
  <si>
    <t>(Plus) Other Long-Term Debt (Acct. 224)</t>
  </si>
  <si>
    <t>LTD = Long Term Debt</t>
  </si>
  <si>
    <t>Long-Term Debt Component - Numerator:</t>
  </si>
  <si>
    <t>LTD interest</t>
  </si>
  <si>
    <t>Cost of Long-Term Debt:</t>
  </si>
  <si>
    <t>1) Calculation of "Preferred Stock Cost Percentage"</t>
  </si>
  <si>
    <t>Amount</t>
  </si>
  <si>
    <t>Reference</t>
  </si>
  <si>
    <t>Total Annual Cost of Preferred Stock:</t>
  </si>
  <si>
    <t>Total Reacquired Preferred Stock Cost:</t>
  </si>
  <si>
    <t>Total Annual Cost of Preferred:</t>
  </si>
  <si>
    <t>Total Preferred Stock Amount Outstanding:</t>
  </si>
  <si>
    <t>Total Premium/Discount</t>
  </si>
  <si>
    <t>Total Preferred Balance:</t>
  </si>
  <si>
    <t>Preferred Stock Cost Percentage:</t>
  </si>
  <si>
    <t>2) Preferred Stock Information for each Outstanding Series</t>
  </si>
  <si>
    <t>PG&amp;E Records</t>
  </si>
  <si>
    <t>= Col 5 + Col 6</t>
  </si>
  <si>
    <t>Preferred Stock Series Name</t>
  </si>
  <si>
    <t>Issue Date</t>
  </si>
  <si>
    <t>Dividend Rate</t>
  </si>
  <si>
    <t>Dividend</t>
  </si>
  <si>
    <t>Shares Outstanding</t>
  </si>
  <si>
    <t>3) Reacquired Preferred Stock Information</t>
  </si>
  <si>
    <t>Call Date</t>
  </si>
  <si>
    <t>Total Issuance Cost</t>
  </si>
  <si>
    <t>Amortization Period</t>
  </si>
  <si>
    <t>Notes and Sources</t>
  </si>
  <si>
    <t>---</t>
  </si>
  <si>
    <t>2) Annual dividend calculation consistent with 18 CFR 35.13 (22) (iii)</t>
  </si>
  <si>
    <t>Transmission Plant in FERC Form 1 for Prior Year:</t>
  </si>
  <si>
    <t xml:space="preserve">Transmission Plant balances are Prior Year ending balances from PG&amp;E's FERC Form 1. </t>
  </si>
  <si>
    <t>Col 1 + Col 3 - Col 4</t>
  </si>
  <si>
    <t>FERC Form 1</t>
  </si>
  <si>
    <t>FERC</t>
  </si>
  <si>
    <t>CPUC</t>
  </si>
  <si>
    <t>FERC Account</t>
  </si>
  <si>
    <t>Account Description</t>
  </si>
  <si>
    <t>Source for Col 1</t>
  </si>
  <si>
    <t>Adjustments</t>
  </si>
  <si>
    <t>Source for Col 4</t>
  </si>
  <si>
    <t>Land and Land Rights</t>
  </si>
  <si>
    <t>Structures and Improvements</t>
  </si>
  <si>
    <t>Station Equipment</t>
  </si>
  <si>
    <t>Towers and Fixtures</t>
  </si>
  <si>
    <t>Poles and Fixtures</t>
  </si>
  <si>
    <t>Overhead Conductors and Devices</t>
  </si>
  <si>
    <t>Underground Conduit</t>
  </si>
  <si>
    <t>Underground Conductor and Devices</t>
  </si>
  <si>
    <t>Roads and Trails</t>
  </si>
  <si>
    <t>Total Transmission Plant</t>
  </si>
  <si>
    <t>Network Transmission Plant In Service</t>
  </si>
  <si>
    <t>1) Total Network Transmission Functional Plant</t>
  </si>
  <si>
    <t>Section 2 + 
Section 3</t>
  </si>
  <si>
    <t>FERC Account:</t>
  </si>
  <si>
    <t>ETP35001</t>
  </si>
  <si>
    <t>ETP35002</t>
  </si>
  <si>
    <t>ETP35201</t>
  </si>
  <si>
    <t>ETP35202</t>
  </si>
  <si>
    <t>ETP35301</t>
  </si>
  <si>
    <t>ETP35302</t>
  </si>
  <si>
    <t>ETP35400</t>
  </si>
  <si>
    <t>ETP35500</t>
  </si>
  <si>
    <t>ETP35600</t>
  </si>
  <si>
    <t>ETP35700</t>
  </si>
  <si>
    <t>ETP35800</t>
  </si>
  <si>
    <t>ETP35900</t>
  </si>
  <si>
    <t>Total</t>
  </si>
  <si>
    <t>13-Month Average</t>
  </si>
  <si>
    <t>2) Network Transmission Functional Plant - High Voltage</t>
  </si>
  <si>
    <t>3) Network Transmission Functional Plant - Low Voltage</t>
  </si>
  <si>
    <t>4) Direct Assigned Common, General and Intangible (CGI) Plant</t>
  </si>
  <si>
    <t>Col 2 + Col 3</t>
  </si>
  <si>
    <t>Total Direct</t>
  </si>
  <si>
    <t>Direct Assigned</t>
  </si>
  <si>
    <t>Assigned CGI</t>
  </si>
  <si>
    <t>High Voltage</t>
  </si>
  <si>
    <t>Low Voltage</t>
  </si>
  <si>
    <t>Average</t>
  </si>
  <si>
    <t>5) Corporate Services (Gas and Electric) Residual Common, General and Intangible (CGI) Plant</t>
  </si>
  <si>
    <t>Col 1 * Col 2</t>
  </si>
  <si>
    <t>Network</t>
  </si>
  <si>
    <t>Total PG&amp;E</t>
  </si>
  <si>
    <t>Residual CGI</t>
  </si>
  <si>
    <t>O&amp;M Labor Factor</t>
  </si>
  <si>
    <t>Corporate CGI</t>
  </si>
  <si>
    <t>6) Corporate Services (Electric) Residual Common, General and Intangible (CGI) Plant</t>
  </si>
  <si>
    <t>Corporate Services (Electric) Residual Common, General and Intangible (CGI) Plant is extracted from PowerPlant, PG&amp;E's fixed asset system of record, by querying by Asset Class, FERC Account and UCC.</t>
  </si>
  <si>
    <t>Total Electric</t>
  </si>
  <si>
    <t>7) Total Network Transmission Common, General and Intangible (CGI) Plant</t>
  </si>
  <si>
    <t>Total Network Transmission Common, General and Intangible (CGI) Plant is the total of the Direct Assigned CGI Plant (Section 4) and the residual CGI Plant (Sections 5-6) allocated to Network Transmission using labor allocation factors.</t>
  </si>
  <si>
    <t>Total of 
Sections 4-6</t>
  </si>
  <si>
    <t>Total Network</t>
  </si>
  <si>
    <t>High</t>
  </si>
  <si>
    <t>Low</t>
  </si>
  <si>
    <t>Transmission CGI</t>
  </si>
  <si>
    <t>Voltage CGI</t>
  </si>
  <si>
    <t xml:space="preserve">Abandoned Plant Balance and Amortization </t>
  </si>
  <si>
    <t>Forecast Net Plant Additions for Network Transmission Plant</t>
  </si>
  <si>
    <t>The 13-month average (including Prior Year + 2 and December of Prior Year + 1) of Net Plant Additions is multiplied by the AFCR to calculate the ITRR.</t>
  </si>
  <si>
    <t>1) Total Forecast Net Plant Additions</t>
  </si>
  <si>
    <t>Total Forecast Net Plant Additions are the total of High Voltage Net Plant Additions (Section 2) and Low Voltage Net Plant Additions (Section 3).</t>
  </si>
  <si>
    <t>Section 2 +
Section 3</t>
  </si>
  <si>
    <t>Forecast Period</t>
  </si>
  <si>
    <t>Gross</t>
  </si>
  <si>
    <t>Incremental</t>
  </si>
  <si>
    <t>Depreciation</t>
  </si>
  <si>
    <t>Cost of Removal</t>
  </si>
  <si>
    <t>Net</t>
  </si>
  <si>
    <t>Plant Adds</t>
  </si>
  <si>
    <t>Gross Plant</t>
  </si>
  <si>
    <t>Accrual</t>
  </si>
  <si>
    <t>Spend</t>
  </si>
  <si>
    <t>Reserve</t>
  </si>
  <si>
    <t>Plant Additions</t>
  </si>
  <si>
    <t>13-Month Average:</t>
  </si>
  <si>
    <t>2) High Voltage Net Plant Additions</t>
  </si>
  <si>
    <t xml:space="preserve">High Voltage Net Plant Additions are the total of the forecasted Incremental Gross Plant less the Incremental Reserve. Incremental Gross Plant is the total of forecast Gross Plant Additions. </t>
  </si>
  <si>
    <t>Incremental Reserve is the total of the calculated depreciation related to the Incremental Gross Plant less the forecast Cost of Removal.</t>
  </si>
  <si>
    <t>Prior Month 
+ Col 1</t>
  </si>
  <si>
    <t>Prior Month 
+ Col 3 - Col 4</t>
  </si>
  <si>
    <t xml:space="preserve">Col 2 - Col 5 </t>
  </si>
  <si>
    <t xml:space="preserve">October </t>
  </si>
  <si>
    <t>3) Low Voltage Net Plant Additions</t>
  </si>
  <si>
    <t xml:space="preserve">Low Voltage Net Plant Additions are the total of the forecasted Incremental Gross Plant less the Incremental Reserve. Incremental Gross Plant is the total of forecast Gross Plant Additions. </t>
  </si>
  <si>
    <t>Asset Class</t>
  </si>
  <si>
    <t>Rate</t>
  </si>
  <si>
    <t>(Note 3)</t>
  </si>
  <si>
    <t>Accumulated Depreciation for Network Transmission Assets</t>
  </si>
  <si>
    <t>1) Total Accumulated Depreciation for Network Transmission Functional Plant</t>
  </si>
  <si>
    <t xml:space="preserve">Total Accumulated Depreciation for Network Transmission Functional Plant is the total of the Accumulated Depreciation related to High Voltage (Section 2) and Low Voltage (Section 3) Network Transmission Plant. </t>
  </si>
  <si>
    <t>2) Accumulated Depreciation for Network Transmission Functional Plant - High Voltage</t>
  </si>
  <si>
    <t>3) Accumulated Depreciation for Network Transmission Functional Plant - Low Voltage</t>
  </si>
  <si>
    <t>4) Accumulated Depreciation for Direct Assigned Common, General and Intangible (CGI) Plant</t>
  </si>
  <si>
    <t>Total CGI</t>
  </si>
  <si>
    <t>5) Accumulated Depreciation for Corporate Services (Gas and Electric) Residual Common, General and Intangible (CGI) Plant</t>
  </si>
  <si>
    <t>6) Accumulated Depreciation for Corporate Services (Electric) Residual Common, General and Intangible (CGI) Plant</t>
  </si>
  <si>
    <t>7) Total Accumulated Depreciation for Network Transmission Common, General and Intangible (CGI) Plant</t>
  </si>
  <si>
    <t>Total Accumulated Depreciation balances for Network Transmission CGI Plant is the total of the amount related to Direct Assigned CGI Plant (Section 4) and amounts related to Residual CGI Plant (Sections 5-6) allocated to Network Transmission using labor allocation factors.</t>
  </si>
  <si>
    <t>Network Transmission Depreciation Expense</t>
  </si>
  <si>
    <t>1) Depreciation Expense for Network Transmission Functional Plant</t>
  </si>
  <si>
    <t>Voltage</t>
  </si>
  <si>
    <t>2) Depreciation Expense for Direct Assigned Common, General and Intangible (CGI) Plant</t>
  </si>
  <si>
    <t>3) Depreciation Expense for Corporate Services (Gas and Electric) Residual Common, General and Intangible (CGI) Plant</t>
  </si>
  <si>
    <t>Corporate</t>
  </si>
  <si>
    <t>Allocation of</t>
  </si>
  <si>
    <t>4) Depreciation Expense for Corporate Services (Electric) Residual Common, General and Intangible (CGI) Plant</t>
  </si>
  <si>
    <t>Electric</t>
  </si>
  <si>
    <t>Electric CGI</t>
  </si>
  <si>
    <t>5) Total Depreciation Expense for Network Transmission Common, General and Intangible (CGI) Plant</t>
  </si>
  <si>
    <t>Total of 
Sections 2-4</t>
  </si>
  <si>
    <t>Calculation of Depreciation Expense Rate Adjustment for Proposed Depreciation Rates</t>
  </si>
  <si>
    <t>The following sections (Sections 6-9) are used to calculate the Depreciation Expense Rate Adjustment, which is a method to account for the potential difference in the Base TRR that would result from changing the depreciation rates for Network Transmission Functional Plant.</t>
  </si>
  <si>
    <t xml:space="preserve">The Depreciation Expense Rate Adjustment factors into the Base TRR only in filings where there are proposed depreciation rates for the rate year that are different from the rates used to record depreciation expense in the Prior Year. </t>
  </si>
  <si>
    <t>6) Total Network Transmission Functional Plant</t>
  </si>
  <si>
    <t>7-PlantInService</t>
  </si>
  <si>
    <t>7) Proposed Network Transmission Functional Plant Depreciation Rates</t>
  </si>
  <si>
    <t>The rates listed below are annual rates.</t>
  </si>
  <si>
    <t>Proposed Depreciation Rates</t>
  </si>
  <si>
    <t>8) Calculated Depreciation Expense for Prior Year Recorded Network Transmission Functional Plant Using Proposed Rates</t>
  </si>
  <si>
    <t xml:space="preserve">The Prior Year recorded plant balances are multiplied by the proposed depreciation rates to calculate the total Prior Year depreciation expense that would have resulted from using the proposed rates. </t>
  </si>
  <si>
    <t>Section 6 * 
(Section 7)/12</t>
  </si>
  <si>
    <t>9) Depreciation Expense Rate Adjustment</t>
  </si>
  <si>
    <t xml:space="preserve">The Depreciation Expense Rate Adjustment is the difference between the recorded Prior Year depreciation expense and the depreciation expense amount that would have resulted from using the proposed rates. </t>
  </si>
  <si>
    <t>Calculated Depreciation Expense for Recorded Plant Using Proposed Rates</t>
  </si>
  <si>
    <t>Total Prior Year Recorded Depreciation Expense</t>
  </si>
  <si>
    <t>Depreciation Expense Rate Adjustment</t>
  </si>
  <si>
    <t>COMPUTER SOFTWARE</t>
  </si>
  <si>
    <t>EIP30303</t>
  </si>
  <si>
    <t>USBR - LIMITED TERM ELECTRIC</t>
  </si>
  <si>
    <t>EIP30301</t>
  </si>
  <si>
    <t>FRANCHISES AND CONSENTS</t>
  </si>
  <si>
    <t>EIP30201</t>
  </si>
  <si>
    <t>MISCELLANEOUS EQUIPMENT</t>
  </si>
  <si>
    <t>EGP39800</t>
  </si>
  <si>
    <t>AMI COMMUNICATION NETWORK</t>
  </si>
  <si>
    <t>EGP39708</t>
  </si>
  <si>
    <t>COMMUNICATION EQUIPMENT</t>
  </si>
  <si>
    <t>EGP39700</t>
  </si>
  <si>
    <t>POWER OPERATED EQUIPMENT</t>
  </si>
  <si>
    <t>EGP39600</t>
  </si>
  <si>
    <t>LABORATORY EQUIPMENT</t>
  </si>
  <si>
    <t>EGP39500</t>
  </si>
  <si>
    <t>TOOLS, SHOP AND WORK EQUIPMENT</t>
  </si>
  <si>
    <t>EGP39400</t>
  </si>
  <si>
    <t>OFFICE FURNITURE AND EQUIPMENT</t>
  </si>
  <si>
    <t>EGP39100</t>
  </si>
  <si>
    <t>STRUCTURES AND IMPROVEMENTS</t>
  </si>
  <si>
    <t>EGP39000</t>
  </si>
  <si>
    <t>LAND RIGHTS</t>
  </si>
  <si>
    <t>EGP38902</t>
  </si>
  <si>
    <t>LAND</t>
  </si>
  <si>
    <t>EGP38901</t>
  </si>
  <si>
    <t>OTHER TANGIBLE PROPERTY</t>
  </si>
  <si>
    <t>CMP39900</t>
  </si>
  <si>
    <t>CMP39800</t>
  </si>
  <si>
    <t>CMP39708</t>
  </si>
  <si>
    <t>COMMUNICATION EQUIPMENT - TRANSMISSION SYSTEMS, ELECTRIC AMI</t>
  </si>
  <si>
    <t>CMP39707</t>
  </si>
  <si>
    <t>COMMUNICATION EQUIPMENT - TRANSMISSION SYSTEMS, GAS AMI</t>
  </si>
  <si>
    <t>CMP39706</t>
  </si>
  <si>
    <t>COMMUNICATION EQUIPMENT - TRANSMISSION SYSTEMS</t>
  </si>
  <si>
    <t>CMP39705</t>
  </si>
  <si>
    <t>COMMUNICATION EQUIPMENT - VOICE SYSTEMS</t>
  </si>
  <si>
    <t>CMP39704</t>
  </si>
  <si>
    <t>COMMUNICATION EQUIPMENT - RADIO SYSTEMS</t>
  </si>
  <si>
    <t>CMP39703</t>
  </si>
  <si>
    <t>COMMUNICATION EQUIPMENT - COMPUTER</t>
  </si>
  <si>
    <t>CMP39702</t>
  </si>
  <si>
    <t>COMMUNICATION EQUIPMENT - NON-COMPUTER</t>
  </si>
  <si>
    <t>CMP39701</t>
  </si>
  <si>
    <t>CMP39600</t>
  </si>
  <si>
    <t>CMP39500</t>
  </si>
  <si>
    <t>TOOLS, SHOP AND GARAGE EQUIPMENT</t>
  </si>
  <si>
    <t>CMP39400</t>
  </si>
  <si>
    <t>STORES EQUIPMENT</t>
  </si>
  <si>
    <t>CMP39300</t>
  </si>
  <si>
    <t>TRANSPORTATION EQUIPMENT - TRAILERS</t>
  </si>
  <si>
    <t>CMP39209</t>
  </si>
  <si>
    <t>TRANSPORTATION EQUIPMENT - VESSELS</t>
  </si>
  <si>
    <t>CMP39208</t>
  </si>
  <si>
    <t xml:space="preserve">TRANSPORTATION EQUIPMENT - CLASS T4 </t>
  </si>
  <si>
    <t>CMP39207</t>
  </si>
  <si>
    <t>TRANSPORTATION EQUIPMENT - CLASS T3</t>
  </si>
  <si>
    <t>CMP39206</t>
  </si>
  <si>
    <t xml:space="preserve">TRANSPORTATION EQUIPMENT - CLASS T1 </t>
  </si>
  <si>
    <t>CMP39205</t>
  </si>
  <si>
    <t>TRANSPORTATION EQUIPMENT - CLASS C4</t>
  </si>
  <si>
    <t>CMP39204</t>
  </si>
  <si>
    <t>TRANSPORTATION EQUIPMENT - CLASS C2</t>
  </si>
  <si>
    <t>CMP39203</t>
  </si>
  <si>
    <t>TRANSPORTATION EQUIPMENT - CLASS P</t>
  </si>
  <si>
    <t>CMP39202</t>
  </si>
  <si>
    <t>TRANSPORTATION EQUIPMENT - AIR</t>
  </si>
  <si>
    <t>CMP39201</t>
  </si>
  <si>
    <t>OFFICE MACHINES AND COMPUTER EQUIPMENT - CIS - FULLY ACCRUED</t>
  </si>
  <si>
    <t>CMP39104</t>
  </si>
  <si>
    <t>CMP39103</t>
  </si>
  <si>
    <t>PC HARDWARE</t>
  </si>
  <si>
    <t>CMP39102</t>
  </si>
  <si>
    <t xml:space="preserve">OFFICE MACHINES </t>
  </si>
  <si>
    <t>CMP39101</t>
  </si>
  <si>
    <t>CMP39000</t>
  </si>
  <si>
    <t>CMP38902</t>
  </si>
  <si>
    <t>LAND - COMMON PLANT</t>
  </si>
  <si>
    <t>CMP38901</t>
  </si>
  <si>
    <t>SOFTWARE CIS</t>
  </si>
  <si>
    <t>CMP30304</t>
  </si>
  <si>
    <t>SOFTWARE</t>
  </si>
  <si>
    <t>CMP30302</t>
  </si>
  <si>
    <t>FRANCHISES AND CONSENTS - COMMON PLANT</t>
  </si>
  <si>
    <t>CMP30200</t>
  </si>
  <si>
    <t>ORGANIZATION - COMMON PLANT</t>
  </si>
  <si>
    <t>CMP30101</t>
  </si>
  <si>
    <t>Asset Class Description</t>
  </si>
  <si>
    <t>RESERVE</t>
  </si>
  <si>
    <t>COST</t>
  </si>
  <si>
    <t>BOOK</t>
  </si>
  <si>
    <t>ORIGINAL</t>
  </si>
  <si>
    <t>TOTAL TRANSMISSION PLANT</t>
  </si>
  <si>
    <t>ROADS AND TRAILS</t>
  </si>
  <si>
    <t>UNDERGROUND CONDUCTORS AND DEVICES</t>
  </si>
  <si>
    <t>UNDERGROUND CONDUIT</t>
  </si>
  <si>
    <t>OVERHEAD CONDUCTORS AND DEVICES</t>
  </si>
  <si>
    <t>POLES AND FIXTURES</t>
  </si>
  <si>
    <t>TOWERS AND FIXTURES</t>
  </si>
  <si>
    <t>STATION EQUIPMENT - STEP-UP TRANSFORMERS</t>
  </si>
  <si>
    <t>STATION EQUIPMENT</t>
  </si>
  <si>
    <t>STRUCTURES AND IMPROVEMENTS - EQUIPMENT</t>
  </si>
  <si>
    <t>COR RATE</t>
  </si>
  <si>
    <t>LIFE RATE</t>
  </si>
  <si>
    <t>RATE</t>
  </si>
  <si>
    <t>AMOUNT</t>
  </si>
  <si>
    <t>LIFE</t>
  </si>
  <si>
    <t>CURVE</t>
  </si>
  <si>
    <t>ACCRUALS</t>
  </si>
  <si>
    <t>PCT.</t>
  </si>
  <si>
    <t>ANNUAL ACCRUAL</t>
  </si>
  <si>
    <t>REMAINING</t>
  </si>
  <si>
    <t>SURVIVOR</t>
  </si>
  <si>
    <t>FUTURE</t>
  </si>
  <si>
    <t>NET SALVAGE</t>
  </si>
  <si>
    <t>Calculation of Components of Working Capital</t>
  </si>
  <si>
    <t>1) Calculation of Materials and Supplies</t>
  </si>
  <si>
    <t>Materials and Supplies balances are recorded in FERC Account 154.</t>
  </si>
  <si>
    <t xml:space="preserve">Total </t>
  </si>
  <si>
    <t>Company</t>
  </si>
  <si>
    <t xml:space="preserve">Line </t>
  </si>
  <si>
    <t>Materials &amp; Supplies</t>
  </si>
  <si>
    <t xml:space="preserve"> Transmission </t>
  </si>
  <si>
    <t>2) Calculation of Prepayments</t>
  </si>
  <si>
    <t>col 1</t>
  </si>
  <si>
    <t>col 2</t>
  </si>
  <si>
    <t>col 3</t>
  </si>
  <si>
    <t>Data Source:</t>
  </si>
  <si>
    <t>col 3 - col 4</t>
  </si>
  <si>
    <t xml:space="preserve">Less:  </t>
  </si>
  <si>
    <t>Detail of Adjusted Total Prepaids</t>
  </si>
  <si>
    <t>Direct Assignments</t>
  </si>
  <si>
    <t>Adjusted Total</t>
  </si>
  <si>
    <t>Property Insurance</t>
  </si>
  <si>
    <t>Liability Insurance</t>
  </si>
  <si>
    <t>Misc.</t>
  </si>
  <si>
    <t>Plant Ratio</t>
  </si>
  <si>
    <t>Labor Average</t>
  </si>
  <si>
    <t>Labor Ratio</t>
  </si>
  <si>
    <t>a)  13 Month Avg Calculation</t>
  </si>
  <si>
    <t>Allocated Prepayments</t>
  </si>
  <si>
    <t>b)  EOY Calculation</t>
  </si>
  <si>
    <t>Note 2:   PG&amp;E's supply chain management team uses specific material codes to assign recorded inventory balances to Network Transmission.</t>
  </si>
  <si>
    <t>Note 3:   PG&amp;E conducted a query of the subaccounts of General Ledger (GL) Account 165 and removed all prepayments that are directly assigned to PG&amp;E's Generation department in col 4.</t>
  </si>
  <si>
    <t>Note 4:   PG&amp;E conducted a query of GL Acct 165 for prepaid amounts related to A&amp;G account 924 property insurance and reflected the month-end recorded balances in col 6.</t>
  </si>
  <si>
    <t>Note 5:   PG&amp;E conducted a query of GL Acct 165 for prepaid amounts related to A&amp;G account 925 general liability insurance and reflected the month-end recorded balances in col 7.</t>
  </si>
  <si>
    <t>Note 6:   PG&amp;E conducted a query of GL Acct 165 for other prepaid amounts consisting of Acct 308.1 excise taxes, property taxes and miscellaneous and reflected the</t>
  </si>
  <si>
    <t>month-end recorded balances in col 8.</t>
  </si>
  <si>
    <t xml:space="preserve">Accumulated Deferred Income Taxes </t>
  </si>
  <si>
    <t>1) Summary of Accumulated Deferred Income Taxes</t>
  </si>
  <si>
    <t>a) End of Year Accumulated Deferred Income Taxes</t>
  </si>
  <si>
    <t>Account</t>
  </si>
  <si>
    <t>Total ADIT</t>
  </si>
  <si>
    <t>Account 190</t>
  </si>
  <si>
    <t>Account 282</t>
  </si>
  <si>
    <t>Account 283</t>
  </si>
  <si>
    <t>Account 255</t>
  </si>
  <si>
    <t>Total Accumulated Deferred Income Taxes</t>
  </si>
  <si>
    <t>b) Beginning of Year Accumulated Deferred Income Taxes</t>
  </si>
  <si>
    <t>BOY ADIT</t>
  </si>
  <si>
    <t>c) Average of Beginning and End of Year Accumulated Deferred Income Taxes</t>
  </si>
  <si>
    <t>Average ADIT</t>
  </si>
  <si>
    <t>Weighted Average ADIT:</t>
  </si>
  <si>
    <t>2) Account 190 Detail</t>
  </si>
  <si>
    <t>Labor</t>
  </si>
  <si>
    <t>ACCT 190</t>
  </si>
  <si>
    <t>DESCRIPTION</t>
  </si>
  <si>
    <t>ISO Only</t>
  </si>
  <si>
    <t>Plant Related</t>
  </si>
  <si>
    <t>Related</t>
  </si>
  <si>
    <t>Electric:</t>
  </si>
  <si>
    <t>Injuries and Damages</t>
  </si>
  <si>
    <t>Total Account 190</t>
  </si>
  <si>
    <t>Allocation Factors (Plant and Wages)</t>
  </si>
  <si>
    <t>Total Account 190 ADIT</t>
  </si>
  <si>
    <t>(Sum of amounts in Columns 4 to 6)</t>
  </si>
  <si>
    <t>FERC Form 1 Account 190</t>
  </si>
  <si>
    <t>3) Account 282 Detail</t>
  </si>
  <si>
    <t>ACCT 282</t>
  </si>
  <si>
    <t>…</t>
  </si>
  <si>
    <t>Total Account 282</t>
  </si>
  <si>
    <t>Total Account 282 ADIT</t>
  </si>
  <si>
    <t>FERC Form 1 Account 282</t>
  </si>
  <si>
    <t>4) Account 283 Detail</t>
  </si>
  <si>
    <t>ACCT 283</t>
  </si>
  <si>
    <t>Total Account 283</t>
  </si>
  <si>
    <t>Total Account 283 ADIT</t>
  </si>
  <si>
    <t>FERC Form 1 Account 283</t>
  </si>
  <si>
    <t>5) Account 255 Detail</t>
  </si>
  <si>
    <t>ACCT 255</t>
  </si>
  <si>
    <t>Total Electric 255</t>
  </si>
  <si>
    <t>Total Account 255 ADIT</t>
  </si>
  <si>
    <t>FERC Form 1 Account 255</t>
  </si>
  <si>
    <t>6) Tax Normalization Calculation Pursuant to Treas. Reg §1.167(l)-1(h)(6); PLR 9313008; 9202029; 922404; 201717008</t>
  </si>
  <si>
    <t>See Note 1</t>
  </si>
  <si>
    <t>See Note 2</t>
  </si>
  <si>
    <t>Col 5 / Tot. Days</t>
  </si>
  <si>
    <t>= Col 2 * Col 6</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</si>
  <si>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</si>
  <si>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</si>
  <si>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</si>
  <si>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</si>
  <si>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</si>
  <si>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</si>
  <si>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</si>
  <si>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</si>
  <si>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</si>
  <si>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</si>
  <si>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</si>
  <si>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</si>
  <si>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</si>
  <si>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</si>
  <si>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Weighted Average ADIT Balance:</t>
  </si>
  <si>
    <t>1) The monthly deferred tax amounts are equal to the ending ADIT balance minus the beginning ADIT balance, divided by 12 months.</t>
  </si>
  <si>
    <t>Network Upgrade Credit and Interest Expense</t>
  </si>
  <si>
    <t>Beginning of Year Balances</t>
  </si>
  <si>
    <t>Outstanding Network Upgrade Credits Recorded in FERC Acct 252</t>
  </si>
  <si>
    <t>FERC Acct 252 Other</t>
  </si>
  <si>
    <t>Total Acct 252 - Customer Advances for Construction</t>
  </si>
  <si>
    <t>Outstanding Network Upgrade Credits</t>
  </si>
  <si>
    <t>FERC Acct 252 - Other</t>
  </si>
  <si>
    <t>Interest on Network Upgrade Credits Recorded in FERC Acct 431</t>
  </si>
  <si>
    <t>FERC Acct 431 - Other</t>
  </si>
  <si>
    <t>Total Acct 431 - Other Interest Expense</t>
  </si>
  <si>
    <t xml:space="preserve">Average of EOY and BOY </t>
  </si>
  <si>
    <t>BOY/EOY Average:</t>
  </si>
  <si>
    <t>Allocated Accrued Vacation</t>
  </si>
  <si>
    <t>Labor Allocation Factor</t>
  </si>
  <si>
    <t>Net Accrued Vacation</t>
  </si>
  <si>
    <t>Less:  Permanent Accounting Adjustment</t>
  </si>
  <si>
    <t>End of Year (EOY)</t>
  </si>
  <si>
    <t>Beginning of year (BOY)</t>
  </si>
  <si>
    <t>Issue #3</t>
  </si>
  <si>
    <t>Issue #2</t>
  </si>
  <si>
    <t>Sum of below</t>
  </si>
  <si>
    <t xml:space="preserve">  Regulatory Liability</t>
  </si>
  <si>
    <t>Debit/Credit</t>
  </si>
  <si>
    <t>Asset/Liability</t>
  </si>
  <si>
    <t xml:space="preserve"> Granting Approval of </t>
  </si>
  <si>
    <t>Regulatory</t>
  </si>
  <si>
    <t>Other Reg</t>
  </si>
  <si>
    <t>Resulting in Other Regulatory</t>
  </si>
  <si>
    <t xml:space="preserve">  Commission Order</t>
  </si>
  <si>
    <t>Amortization or</t>
  </si>
  <si>
    <t>EOY</t>
  </si>
  <si>
    <t>BOY</t>
  </si>
  <si>
    <t>Description of Issue</t>
  </si>
  <si>
    <t>Amortization and Regulatory Debits and Credits:</t>
  </si>
  <si>
    <t>Other Regulatory Assets and Liabilities (BOY/EOY average):</t>
  </si>
  <si>
    <t>Other Regulatory Assets and Liabilities (EOY):</t>
  </si>
  <si>
    <t>Calculation or Source</t>
  </si>
  <si>
    <t>2) Insert additional lines as necessary for additional issues.</t>
  </si>
  <si>
    <t>b) Enter costs in columns 1-3 in above table for the applicable Prior Year.</t>
  </si>
  <si>
    <t>a) Fill in Description for issue in above table.</t>
  </si>
  <si>
    <t>Regulatory Debits and Credits costs through this formula transmission rate:</t>
  </si>
  <si>
    <t>1) Upon Commission approval of recovery of Other Regulatory Assets and Liabilities, Amortization and</t>
  </si>
  <si>
    <t xml:space="preserve">in the Base TRR, consistent with a Commission Order.  </t>
  </si>
  <si>
    <t>return to customers in this formula transmission rate.  Approved costs are amortized as expenses or revenue</t>
  </si>
  <si>
    <t xml:space="preserve">Amortization and Regulatory Debits and Credits are costs of revenues that are approved for recovery from or </t>
  </si>
  <si>
    <t>approval received subsequent to a PG&amp;E Section 205 filing requesting such treatment.</t>
  </si>
  <si>
    <t xml:space="preserve">PG&amp;E will include a non-zero amount of Other Regulatory Assets and Liabilities only with Commission </t>
  </si>
  <si>
    <t>(Account 254).  This Schedule does not include Abandoned Plant costs recovered through Schedule 8.</t>
  </si>
  <si>
    <t>deferred to a future period and recorded in Other Regulatory Assets (Account 182.3) and Regulatory Liabilities</t>
  </si>
  <si>
    <t>Other Regulatory Assets and Liabilities are a component of Rate Base representing costs that have been</t>
  </si>
  <si>
    <t>Regulatory Assets and Liabilities and Associated Amortization and Regulatory Debits and Credits</t>
  </si>
  <si>
    <t>Maintenance of Underground Lines</t>
  </si>
  <si>
    <t>Maintenance of Overhead Lines</t>
  </si>
  <si>
    <t>Maintenance of Energy Storage Equipment</t>
  </si>
  <si>
    <t>Maintenance Supervision and Engineering</t>
  </si>
  <si>
    <t>Rents</t>
  </si>
  <si>
    <t>Miscellaneous Transmission Expenses</t>
  </si>
  <si>
    <t>Transmission of Electricity by Others</t>
  </si>
  <si>
    <t>Underground Line Expenses</t>
  </si>
  <si>
    <t>Overhead Line Expenses</t>
  </si>
  <si>
    <t>Operation of Energy Storage Equipment</t>
  </si>
  <si>
    <t>Station Expenses</t>
  </si>
  <si>
    <t>Load Dispatch - Reliability</t>
  </si>
  <si>
    <t>Operation Supervision and Engineering</t>
  </si>
  <si>
    <t>Total Transmission O&amp;M</t>
  </si>
  <si>
    <t>Non-Labor</t>
  </si>
  <si>
    <t>Network Transmission O&amp;M Expense</t>
  </si>
  <si>
    <t>Network Transmission %</t>
  </si>
  <si>
    <t>Recorded Adjusted O&amp;M Expense</t>
  </si>
  <si>
    <t>FERC Account Description</t>
  </si>
  <si>
    <t>Col 13 + Col 14</t>
  </si>
  <si>
    <t>Col 10 * Col 12</t>
  </si>
  <si>
    <t>Col 9 * Col 12</t>
  </si>
  <si>
    <t>Col 9 + Col 10</t>
  </si>
  <si>
    <t>Col 4 + Col 7</t>
  </si>
  <si>
    <t>Col 3 + Col 6</t>
  </si>
  <si>
    <t>Col 6 + Col 7</t>
  </si>
  <si>
    <t>Col 3 + Col 4, Note 2</t>
  </si>
  <si>
    <t>Col 15</t>
  </si>
  <si>
    <t>Operations and Maintenance Expense</t>
  </si>
  <si>
    <t>Maintenance of General Plant</t>
  </si>
  <si>
    <t>Miscellaneous General Expense</t>
  </si>
  <si>
    <t>General Advertising Expense</t>
  </si>
  <si>
    <t>Duplicate Charges</t>
  </si>
  <si>
    <t>Regulatory Commission Expenses</t>
  </si>
  <si>
    <t>Franchise Requirements</t>
  </si>
  <si>
    <t>Employee Pensions and Benefits</t>
  </si>
  <si>
    <t>Outside Services Employed</t>
  </si>
  <si>
    <t>A&amp;G Expenses Transferred</t>
  </si>
  <si>
    <t>Office Supplies and Expenses</t>
  </si>
  <si>
    <t>A&amp;G Salaries</t>
  </si>
  <si>
    <t>Line 209 + Line 213 + Line 217</t>
  </si>
  <si>
    <t>Total Transmission Portion of Administrative and General Expenses:</t>
  </si>
  <si>
    <t>Transmission Portion of Property Insurance Account 924</t>
  </si>
  <si>
    <t>Line 108, col 7</t>
  </si>
  <si>
    <t>Account 924 Property Insurance nonnuclear:</t>
  </si>
  <si>
    <t>Based on Yearend Plant</t>
  </si>
  <si>
    <t>Transmission Portion of A&amp;G from Labor Allocation Factors:</t>
  </si>
  <si>
    <t>Transmission as a Percent of Electric O&amp;M Labor Allocation Factor:</t>
  </si>
  <si>
    <t>Total Electric Portion of A&amp;G From Labor</t>
  </si>
  <si>
    <t>Electric O&amp;M Labor Allocation Factor:</t>
  </si>
  <si>
    <t>Total A&amp;G Expense Applicable to the O&amp;M Labor Allocation Factor:</t>
  </si>
  <si>
    <t>Less Account  924 Property Insurance nonnuclear:</t>
  </si>
  <si>
    <t>Line 118, col 7</t>
  </si>
  <si>
    <t>A&amp;G Expense after Adjustments</t>
  </si>
  <si>
    <t>Based on Labor Factors</t>
  </si>
  <si>
    <t>2)  Calculation of Network Transmission A&amp;G Expense</t>
  </si>
  <si>
    <t>FF2 325, L. 270, col b</t>
  </si>
  <si>
    <t>Total A&amp;G Expenses:</t>
  </si>
  <si>
    <t>FF2 325, L. 269, col b</t>
  </si>
  <si>
    <t>FF2 325, L. 266, col b</t>
  </si>
  <si>
    <t>FF2 325, L. 265, col b</t>
  </si>
  <si>
    <t>FF2 325, L. 264, col b</t>
  </si>
  <si>
    <t>FF2 325, L. 263, col b</t>
  </si>
  <si>
    <t>FF2 325, L. 262, col b</t>
  </si>
  <si>
    <t>FF2 325, L. 261, col b</t>
  </si>
  <si>
    <t>FF2 325, L. 260, col b</t>
  </si>
  <si>
    <t>FF2 325, L. 259, col b</t>
  </si>
  <si>
    <t>FF2 325, L. 258, col b</t>
  </si>
  <si>
    <t>FF2 325, L. 257, col b</t>
  </si>
  <si>
    <t>FF2 325, L. 256, col b</t>
  </si>
  <si>
    <t>FF2 325, L. 255, col b</t>
  </si>
  <si>
    <t>FF2 325, L. 254, col b</t>
  </si>
  <si>
    <t>Amount Excluded</t>
  </si>
  <si>
    <t>Acct.</t>
  </si>
  <si>
    <t>Total Company Adj</t>
  </si>
  <si>
    <t xml:space="preserve">Total Company </t>
  </si>
  <si>
    <t>Data</t>
  </si>
  <si>
    <t>FERC Form 2</t>
  </si>
  <si>
    <t>Col 7 = Col 5 - Col 6</t>
  </si>
  <si>
    <t>Col 5 = Col 1+Col 3</t>
  </si>
  <si>
    <t>1)  Calculation of Total Company Adjusted A&amp;G Expense</t>
  </si>
  <si>
    <t>Input Cells are shaded in gold</t>
  </si>
  <si>
    <t>Administrative and General Expenses</t>
  </si>
  <si>
    <t>1) Immaterial reconciling difference.</t>
  </si>
  <si>
    <t>Note 2, 5</t>
  </si>
  <si>
    <t>Other Transmission Revenue - Wheeling</t>
  </si>
  <si>
    <t>Other Utility Operating Income</t>
  </si>
  <si>
    <t>Reimbursed Electric Revenue - CPUC</t>
  </si>
  <si>
    <t>Other Electric Revenue - Calif Department of Water &amp; Resources (DWR)</t>
  </si>
  <si>
    <t>Reimbursed Electric Revenue Customer Care and Billing (CC&amp;B)</t>
  </si>
  <si>
    <t>Reimbursed Electric Revenue Joint Poles</t>
  </si>
  <si>
    <t>Note 2, 4</t>
  </si>
  <si>
    <t>Reimbursed Electric Revenue</t>
  </si>
  <si>
    <t>Unbilled Electric Revenue</t>
  </si>
  <si>
    <t>New Revenue Development - Electric Revenue</t>
  </si>
  <si>
    <t>NEBS TCRA</t>
  </si>
  <si>
    <t>Mobile Home Park Electric</t>
  </si>
  <si>
    <t>Revenue Damage Claims Electric</t>
  </si>
  <si>
    <t>Other Revenue - Affiliate</t>
  </si>
  <si>
    <t>Timber Sales - Utility</t>
  </si>
  <si>
    <t>Recreation Facilities Revenue</t>
  </si>
  <si>
    <t>MCI Rights-of-Way (B)</t>
  </si>
  <si>
    <t>Other Electric Revenues</t>
  </si>
  <si>
    <t>Acct 456 Total</t>
  </si>
  <si>
    <t>Other Electric Revenue</t>
  </si>
  <si>
    <t>New Revenue Development Fee Revenue</t>
  </si>
  <si>
    <t>New Revenue Development Rent</t>
  </si>
  <si>
    <t>Note 2, 3</t>
  </si>
  <si>
    <t>Rent from Electric Property</t>
  </si>
  <si>
    <t>Acct 454 Total</t>
  </si>
  <si>
    <t>Sales of Water and Water Power</t>
  </si>
  <si>
    <t>Acct 453 Total</t>
  </si>
  <si>
    <t>Miscellaneous Service Revenues - Reimbursable</t>
  </si>
  <si>
    <t>Miscellaneous Service Electric Customer Fund Management Non-RES</t>
  </si>
  <si>
    <t>Miscellaneous Service Electric Customer Fund Management - RES</t>
  </si>
  <si>
    <t>NRD Revenue Other</t>
  </si>
  <si>
    <t>Miscellaneous Service Revenues</t>
  </si>
  <si>
    <t>Acct 451 Total</t>
  </si>
  <si>
    <t>Forfeited Discounts</t>
  </si>
  <si>
    <t>Acct 450 Total</t>
  </si>
  <si>
    <t xml:space="preserve">NP&amp;S Transmission </t>
  </si>
  <si>
    <t>Total Network ET</t>
  </si>
  <si>
    <t>Network ET - Low Voltage</t>
  </si>
  <si>
    <t>Network ET - High Voltage</t>
  </si>
  <si>
    <t>ACCT DESCRIPTION</t>
  </si>
  <si>
    <t>NATURAL ACCT</t>
  </si>
  <si>
    <t>FERC ACCT</t>
  </si>
  <si>
    <t>Col 5 + Col 6</t>
  </si>
  <si>
    <t>1) Insert additional lines as necessary for additional items.</t>
  </si>
  <si>
    <t>3) Product Lines with negative Net Revenues are set to zero.</t>
  </si>
  <si>
    <t>Customer Revenue Credit (CRC$) = PTNR * CRC%</t>
  </si>
  <si>
    <t>Shareholder Allocation</t>
  </si>
  <si>
    <t>State and Federal taxes = PSA$ * t</t>
  </si>
  <si>
    <t>Pre-tax Shareholder Allocation (PSA$) = PTNR * PSA%</t>
  </si>
  <si>
    <t>Calculation of 50/50 After-Tax Sharing</t>
  </si>
  <si>
    <t xml:space="preserve">CRC% (Customer Revenue Credit Percent of Net Revenues) = 1 - [1 / (1+ k - kt)]                   </t>
  </si>
  <si>
    <t>PSA% (Pre-Tax Shareholder Percent of Net Revenues) = 1 / (1 + k - kt)</t>
  </si>
  <si>
    <t>50%/50% = 1</t>
  </si>
  <si>
    <t>k = The ratio of customer to shareholder after tax net revenues.</t>
  </si>
  <si>
    <t>t = Composite state &amp; federal tax rate</t>
  </si>
  <si>
    <t>PTNR (Pre-tax net revenue)</t>
  </si>
  <si>
    <t>Calculation of Pre-tax Revenue Allocation %</t>
  </si>
  <si>
    <t>Maintenance &amp; Consulting</t>
  </si>
  <si>
    <t>Technology &amp; Licenses</t>
  </si>
  <si>
    <t>Land Use</t>
  </si>
  <si>
    <t>Wireless</t>
  </si>
  <si>
    <t>Wireline</t>
  </si>
  <si>
    <t>Net Revenues</t>
  </si>
  <si>
    <t>Expense</t>
  </si>
  <si>
    <t>Product Line</t>
  </si>
  <si>
    <t>Adjusted</t>
  </si>
  <si>
    <t>Col 1 - Col 2</t>
  </si>
  <si>
    <t>Revenue Sharing for Non-Tariff New Products &amp; Services</t>
  </si>
  <si>
    <t>California Rev. &amp; Tax. Cd. § 23151</t>
  </si>
  <si>
    <t>Internal Revenue Code (IRC) Section 11</t>
  </si>
  <si>
    <t>Value</t>
  </si>
  <si>
    <t>Income Tax Rates</t>
  </si>
  <si>
    <t>4) Tax Normalization Calculation Pursuant to Treas. Reg §1.167(l)-1(h)(6); PLR 9313008; 9202029; 922404; 201717008</t>
  </si>
  <si>
    <t>Total South Georgia Adjustment</t>
  </si>
  <si>
    <t>3) ROE and Capitalization Calculations</t>
  </si>
  <si>
    <t>2) Income Taxes</t>
  </si>
  <si>
    <t>Average of BOY and EOY Accumulated Deferred Income Taxes</t>
  </si>
  <si>
    <t>Beginning of Year Accumulated Deferred Income Taxes</t>
  </si>
  <si>
    <t>End of Year Accumulated Deferred Income Taxes</t>
  </si>
  <si>
    <t>1) Accumulated Deferred Income Taxes</t>
  </si>
  <si>
    <t>Retail "South Georgia" Taxes</t>
  </si>
  <si>
    <t>Total PG&amp;E Electric Net Plant In Service (Functional + CGI)</t>
  </si>
  <si>
    <t>Total PG&amp;E Electric Accumulated Depreciation including CGI</t>
  </si>
  <si>
    <t>Calculation of Prior Year Property Tax Allocation Factor</t>
  </si>
  <si>
    <t>Calculation of Prior Year Liability Insurance Allocation Factor</t>
  </si>
  <si>
    <t>Allocation Factor to Low Voltage</t>
  </si>
  <si>
    <t>Allocation Factor to High Voltage</t>
  </si>
  <si>
    <t>Low Voltage Rate Year Functional Plant</t>
  </si>
  <si>
    <t>High Voltage Rate Year Functional Plant</t>
  </si>
  <si>
    <t>Low Voltage Capital Additions</t>
  </si>
  <si>
    <t>High Voltage Capital Additions</t>
  </si>
  <si>
    <t>Calculation of Prior Year High Voltage/Low Voltage Transmission Plant Allocation Factor</t>
  </si>
  <si>
    <t>Total Electric Transmission  - Functional Plant only</t>
  </si>
  <si>
    <t>Total PG&amp;E Electric Plant In Service including CGI Plant</t>
  </si>
  <si>
    <t>Total PG&amp;E Company Gross Plant In Service</t>
  </si>
  <si>
    <t>Calculation of Prior Year Transmission Plant Allocation Factor</t>
  </si>
  <si>
    <t>Total Adjusted Electric Wages and Salaries wo A&amp;G</t>
  </si>
  <si>
    <t>Total Electric Department Labor as a % of Total Company Labor</t>
  </si>
  <si>
    <t>Cost Adjustment</t>
  </si>
  <si>
    <t>Electric A&amp;G Wages and Salaries</t>
  </si>
  <si>
    <t>Total Electric Department Wages and Salaries</t>
  </si>
  <si>
    <t>Gas A&amp;G Wages and Salaries</t>
  </si>
  <si>
    <t xml:space="preserve">Electric A&amp;G Wages and Salaries </t>
  </si>
  <si>
    <t>Total Company Wages and Salaries</t>
  </si>
  <si>
    <t>Calculation of Prior Year Total Electric Department Labor Allocation Factor</t>
  </si>
  <si>
    <t>Calculation of Allocation Factors</t>
  </si>
  <si>
    <t>Franchise Fee Factor</t>
  </si>
  <si>
    <t>4) Calculation of Weighted Average RF&amp;U Factors</t>
  </si>
  <si>
    <t>Uncollectible Factor</t>
  </si>
  <si>
    <t>Days in Prior Year</t>
  </si>
  <si>
    <t>To</t>
  </si>
  <si>
    <t>From</t>
  </si>
  <si>
    <t>3) Approved Uncollectible Factor(s)</t>
  </si>
  <si>
    <t>2) Approved San Francisco Gross Receipts Tax Factor(s)</t>
  </si>
  <si>
    <t>1) Approved Franchise Fee Factor(s)</t>
  </si>
  <si>
    <t>Revenue Fees and Uncollectible Factors</t>
  </si>
  <si>
    <t>Total Wholesale TRRs</t>
  </si>
  <si>
    <t>Standby Revenue Credit</t>
  </si>
  <si>
    <t>Wholesale TRBAA</t>
  </si>
  <si>
    <t>Wholesale Base TRRs</t>
  </si>
  <si>
    <t>True-up Adjustment</t>
  </si>
  <si>
    <t>Depreciation rate adjustment</t>
  </si>
  <si>
    <t>Prior Year Transmission Revenue Requirement</t>
  </si>
  <si>
    <t xml:space="preserve"> Plant Allocator</t>
  </si>
  <si>
    <t>Rate Year LV</t>
  </si>
  <si>
    <t>Rate Year HV</t>
  </si>
  <si>
    <t>High and Low Voltage Wholesale Revenue Requirement</t>
  </si>
  <si>
    <t>Low Voltage Access Charge ($/MWh)</t>
  </si>
  <si>
    <t>Gross Load (MWh)</t>
  </si>
  <si>
    <t>Low Voltage TRR</t>
  </si>
  <si>
    <t>Calculation of Low Voltage Access Charge</t>
  </si>
  <si>
    <t>High Voltage Access Charge ($/MWh)</t>
  </si>
  <si>
    <t>High Voltage TRR</t>
  </si>
  <si>
    <t>Calculation of High Voltage Access Charge</t>
  </si>
  <si>
    <t>Calculation of PG&amp;E Wholesale Rates</t>
  </si>
  <si>
    <t>Gross Load at Area Out (kWh)</t>
  </si>
  <si>
    <t>Retail energy at local (area out) (kWh)</t>
  </si>
  <si>
    <t>Energy loss factor area out</t>
  </si>
  <si>
    <t>Energy at generator (kWh)</t>
  </si>
  <si>
    <t xml:space="preserve">1) Input the gross load data and loss factor from the Gross Load Workpapers. </t>
  </si>
  <si>
    <t>Calculation of Gross Load at the CAISO Interface (Area Out)</t>
  </si>
  <si>
    <t>Rate Design:</t>
  </si>
  <si>
    <t>kW-mo</t>
  </si>
  <si>
    <t>Standby Service</t>
  </si>
  <si>
    <t>/.85*kW-mo</t>
  </si>
  <si>
    <t>50% Reservation Charge</t>
  </si>
  <si>
    <t>At Secondary</t>
  </si>
  <si>
    <t>/kWh</t>
  </si>
  <si>
    <t>50% Volumetric Charge</t>
  </si>
  <si>
    <t>At Primary</t>
  </si>
  <si>
    <t>/kW-mo</t>
  </si>
  <si>
    <t>At Transmission</t>
  </si>
  <si>
    <t>kWh</t>
  </si>
  <si>
    <t>Agriculture</t>
  </si>
  <si>
    <t>AG: B Schedules</t>
  </si>
  <si>
    <t>AG: A Schedules</t>
  </si>
  <si>
    <t>AGA-</t>
  </si>
  <si>
    <t xml:space="preserve"> </t>
  </si>
  <si>
    <t>Streetlights</t>
  </si>
  <si>
    <t>STL-</t>
  </si>
  <si>
    <t>Medium Light and Power</t>
  </si>
  <si>
    <t>Medium L&amp;P</t>
  </si>
  <si>
    <t>Small L&amp;P</t>
  </si>
  <si>
    <t>Residential</t>
  </si>
  <si>
    <t>RES-</t>
  </si>
  <si>
    <t>($/kWh)</t>
  </si>
  <si>
    <t>(kWh)</t>
  </si>
  <si>
    <t>Units</t>
  </si>
  <si>
    <t>Determinants</t>
  </si>
  <si>
    <t>Cost Allocation</t>
  </si>
  <si>
    <t>Class Name</t>
  </si>
  <si>
    <t>Code</t>
  </si>
  <si>
    <t>Average Rate</t>
  </si>
  <si>
    <t>Annual Sales</t>
  </si>
  <si>
    <t>Billing</t>
  </si>
  <si>
    <t>Forecast Billing</t>
  </si>
  <si>
    <t>Adjusted 12-CP</t>
  </si>
  <si>
    <t>Rate Design Calculations Based on 12-CP Method</t>
  </si>
  <si>
    <t>Totals - Retail</t>
  </si>
  <si>
    <t>Standby</t>
  </si>
  <si>
    <t xml:space="preserve">Total - Full Requirements </t>
  </si>
  <si>
    <t>MARL Sales:</t>
  </si>
  <si>
    <t>(w/losses)</t>
  </si>
  <si>
    <t>(kW)</t>
  </si>
  <si>
    <t>Factors</t>
  </si>
  <si>
    <t>Coin. Peak</t>
  </si>
  <si>
    <t>(adjusted for losses)</t>
  </si>
  <si>
    <t>Loss</t>
  </si>
  <si>
    <t>Sales</t>
  </si>
  <si>
    <t>Percent of</t>
  </si>
  <si>
    <t>Coincident Demands</t>
  </si>
  <si>
    <t>Demand</t>
  </si>
  <si>
    <t>Recorded Avg.</t>
  </si>
  <si>
    <t>Forecast</t>
  </si>
  <si>
    <t>Yr. Historical Avg.</t>
  </si>
  <si>
    <t>Proposed Allocations &amp; Revenues</t>
  </si>
  <si>
    <t>Negative End of Year Value</t>
  </si>
  <si>
    <t>Negative 13-Month Avg</t>
  </si>
  <si>
    <t>Negative BOY EOY Avg</t>
  </si>
  <si>
    <t>7-PlantInService, L. 112, col 13</t>
  </si>
  <si>
    <t>7-PlantInService, L. 701, col 1</t>
  </si>
  <si>
    <t>13-WorkCap, L. 112, col 2</t>
  </si>
  <si>
    <t>13-WorkCap, L. 217, col 5</t>
  </si>
  <si>
    <t>10-AccDep, L. 112, col 13</t>
  </si>
  <si>
    <t>10-AccDep, L. 701, col 1</t>
  </si>
  <si>
    <t>15-NUC, L. 103</t>
  </si>
  <si>
    <t>5-CostofCap-1, L. 110</t>
  </si>
  <si>
    <t>5-CostofCap-1, L. 114</t>
  </si>
  <si>
    <t>5-CostofCap-4, L. 106</t>
  </si>
  <si>
    <t>5-CostofCap-1, L. 120</t>
  </si>
  <si>
    <t>24-Allocators, L. 112</t>
  </si>
  <si>
    <t>22-TaxRates, L. 100</t>
  </si>
  <si>
    <t>22-TaxRates, L. 101</t>
  </si>
  <si>
    <t>18-OandM, L. 100, col 15</t>
  </si>
  <si>
    <t>15-NUC, L. 106</t>
  </si>
  <si>
    <t>11-Depreciation, L. 102, col 13 + L. 500, col 1</t>
  </si>
  <si>
    <t>11-Depreciation, L. 902</t>
  </si>
  <si>
    <t>21-NPandS, L. 403</t>
  </si>
  <si>
    <t>25-RFandUFactors, L. 400</t>
  </si>
  <si>
    <t>25-RFandUFactors, L. 401</t>
  </si>
  <si>
    <t>25-RFandUFactors, L. 402</t>
  </si>
  <si>
    <t>9-PlantAdditions, L. 124, col 6</t>
  </si>
  <si>
    <t>7-PlantInService, L. 113 col 13</t>
  </si>
  <si>
    <t>7-PlantInService, L. 702, col 1</t>
  </si>
  <si>
    <t>13-WorkCap, L. 113, col 2</t>
  </si>
  <si>
    <t>13-WorkCap, L. 215, col 5</t>
  </si>
  <si>
    <t>10-AccDep, L. 113, col 13</t>
  </si>
  <si>
    <t>10-AccDep, L. 702, col 1</t>
  </si>
  <si>
    <t>15-NUC, L. 109</t>
  </si>
  <si>
    <t>17-RegAssets, L. 101</t>
  </si>
  <si>
    <t>1-BaseTRR, L. 402</t>
  </si>
  <si>
    <t>Line 107 * (1- Line 108)</t>
  </si>
  <si>
    <t>Sum of Lines 100 to 106 and Line 109</t>
  </si>
  <si>
    <t>Sum of Lines 111 to 113</t>
  </si>
  <si>
    <t>Line 114</t>
  </si>
  <si>
    <t>Line 113</t>
  </si>
  <si>
    <t>Sum of Lines 115 to 119</t>
  </si>
  <si>
    <t>7-PlantInService, L. 112, col 1 + col 2</t>
  </si>
  <si>
    <t>7-PlantInService, L. 112, col 3 + col 4</t>
  </si>
  <si>
    <t>7-PlantInService, L. 112, col 5 + col 6</t>
  </si>
  <si>
    <t>7-PlantInService, L. 112, col 7</t>
  </si>
  <si>
    <t>7-PlantInService, L. 112, col 8</t>
  </si>
  <si>
    <t>7-PlantInService, L. 112, col 9</t>
  </si>
  <si>
    <t>7-PlantInService, L. 112, col 10</t>
  </si>
  <si>
    <t>7-PlantInService, L. 112, col 11</t>
  </si>
  <si>
    <t>7-PlantInService, L. 112, col 12</t>
  </si>
  <si>
    <t>24-Allocators, 
L. 113</t>
  </si>
  <si>
    <t>24-Allocators, 
L. 112</t>
  </si>
  <si>
    <t>Col 3 * 24-Allocators, L. 126</t>
  </si>
  <si>
    <t>Col 3 * 24-Allocators, L. 127</t>
  </si>
  <si>
    <t>The monthly balances in Lines 100 -112 are the end-of-month balances for Prior Year and December of Prior Year - 1.</t>
  </si>
  <si>
    <t>Total Network Transmission Functional Plant is the total of High Voltage (Section 2) and Low Voltage (Section 3) Network Transmission Plant. The monthly balances in Lines 100 -112 are the end-of-month balances for Prior Year and December of Prior Year minus 1.</t>
  </si>
  <si>
    <t>Line 400 + Line 500 + Line 600</t>
  </si>
  <si>
    <t>Line 401 + Line 501 + Line 601</t>
  </si>
  <si>
    <t>(Line 700 + Line 701)/2</t>
  </si>
  <si>
    <t>The Depreciation Expense amounts by FERC Account and Asset Class in Lines 100 and 101 represent the amounts related to High Voltage and Low Voltage Network Transmission Plant.</t>
  </si>
  <si>
    <t>Line 200 + Line 300 + Line 400</t>
  </si>
  <si>
    <t>Total Network Transmission Functional Plant Prior Year balances are from 7-PlantInService, L. 101-112.</t>
  </si>
  <si>
    <t xml:space="preserve">Proposed Network Transmission Functional Plant Depreciation Rates are from 12-DepRates. The Depreciation Rates for Columns 3-12 are from 12-DepRates, L. 100 - 109. </t>
  </si>
  <si>
    <t>12-DepRates, 
L. 100</t>
  </si>
  <si>
    <t>12-DepRates, 
L. 101</t>
  </si>
  <si>
    <t>12-DepRates, 
L. 102</t>
  </si>
  <si>
    <t>12-DepRates, 
L. 103</t>
  </si>
  <si>
    <t>12-DepRates, 
L. 104</t>
  </si>
  <si>
    <t>12-DepRates, 
L. 105</t>
  </si>
  <si>
    <t>12-DepRates, 
L. 106</t>
  </si>
  <si>
    <t>12-DepRates, 
L. 107</t>
  </si>
  <si>
    <t>12-DepRates, 
L. 108</t>
  </si>
  <si>
    <t>12-DepRates, 
L. 109</t>
  </si>
  <si>
    <t>Line 900 minus Line 901</t>
  </si>
  <si>
    <t>Col 2 * 
24-Allocators, L. 126</t>
  </si>
  <si>
    <t>Col 2 * 
24-Allocators, L. 127</t>
  </si>
  <si>
    <t>24-Allocators, Lines 116, 113</t>
  </si>
  <si>
    <t>Avg. of Line 103 col 1 and col 2</t>
  </si>
  <si>
    <t>Line 103, col 3</t>
  </si>
  <si>
    <t>Network Transmission O&amp;M Expense (Line 100, Col 15)</t>
  </si>
  <si>
    <t>Beginning Deferred Tax Balance (Line 101)</t>
  </si>
  <si>
    <t>Ending Balance (Line 100)</t>
  </si>
  <si>
    <t>Total Company Wages and Salaries w/o A&amp;G</t>
  </si>
  <si>
    <t>(Line 100 + Line 103) - (Line 101 + Line 102)</t>
  </si>
  <si>
    <t>18-OandM, L. 100, col 13</t>
  </si>
  <si>
    <t>7-PlantInService, L. 112, col 13 + 7-PlantInService, L. 701, col 1</t>
  </si>
  <si>
    <t>7-PlantInService, L. 212, col 13</t>
  </si>
  <si>
    <t>7-PlantInService, L. 312, col 13</t>
  </si>
  <si>
    <t>9-PlantAdditions, L. 223, col 2</t>
  </si>
  <si>
    <t>9-PlantAdditions, L. 323, col 2</t>
  </si>
  <si>
    <t>10-AccDep, L. 112, col 13 + 10-AccDep, L. 701, col 1</t>
  </si>
  <si>
    <t>Prior Year Dec</t>
  </si>
  <si>
    <t>Rate Year Dec</t>
  </si>
  <si>
    <t>7-PlantInService, L. 212 and 312, col 13</t>
  </si>
  <si>
    <t>7-PlantInService, L. 701, col 2 and col 3</t>
  </si>
  <si>
    <t>13-WorkCap, L. 112, col 3 and col 4</t>
  </si>
  <si>
    <t>Line 1 * 13-WorkCap, L. 217, col 5</t>
  </si>
  <si>
    <t>10-AccDep, L. 701 , col 2 and col 3</t>
  </si>
  <si>
    <t>10-AccDep, L. 212 and L. 312, col 13</t>
  </si>
  <si>
    <t>Line 1 * 1-BaseTRR, L. 112</t>
  </si>
  <si>
    <t>Line 1 * 1-BaseTRR, L. 113</t>
  </si>
  <si>
    <t>Line 1 * 1-BaseTRR, L. 114</t>
  </si>
  <si>
    <t>Line 1 * 1-BaseTRR, L. 501</t>
  </si>
  <si>
    <t>Line 1 * 1-BaseTRR, L. 502</t>
  </si>
  <si>
    <t>Line 1 * 1-BaseTRR, L. 504</t>
  </si>
  <si>
    <t>Line 1 * 1-BaseTRR, L. 507</t>
  </si>
  <si>
    <t>Line 1 * 1-BaseTRR, L. 508</t>
  </si>
  <si>
    <t>Line 1 * 1-BaseTRR, L. 510</t>
  </si>
  <si>
    <t>Line 1 * 1-BaseTRR, L. 511</t>
  </si>
  <si>
    <t>Line 212 * (1-BaseTRR, L. 513 + L. 514)</t>
  </si>
  <si>
    <t>Line 1 * 1-BaseTRR, L. 601</t>
  </si>
  <si>
    <t>Line 1 * 1-BaseTRR, L. 602</t>
  </si>
  <si>
    <t>Negative, Line 1 * (29-RetailRates-1, L. 118, col (A) * 50%</t>
  </si>
  <si>
    <t>11-Depreciation, (L. 100, col 13 + L. 500, col 2), (L. 101, col 13 + L. 500, Col 3)</t>
  </si>
  <si>
    <t>(Line 1 * (18-OandM, L. 100  - L. 114, col 15) + 18-OandM, L. 114, col 15), Line 1 * (18-OandM, L.100  - L. 114, col 15)</t>
  </si>
  <si>
    <t>Load Dispatch - Monitor and Operate Transmission System</t>
  </si>
  <si>
    <t>Load Dispatch - Transmission Service and Scheduling</t>
  </si>
  <si>
    <t>Reliability Planning and Standards Development</t>
  </si>
  <si>
    <t>Transmission Service Studies</t>
  </si>
  <si>
    <t>Generation Interconnection Studies</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</si>
  <si>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</si>
  <si>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</si>
  <si>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</si>
  <si>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</si>
  <si>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</si>
  <si>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</si>
  <si>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Miscellaneous Transmission Plant</t>
  </si>
  <si>
    <t>1) Data are extracted from SAP for all costs (broken down into labor and non-labor components) in the Prior Year that are recorded in electric transmission operations and maintenance expense accounts.</t>
  </si>
  <si>
    <t>Proposed Retail Rates</t>
  </si>
  <si>
    <t>Current Year for Forecast Billing Determinants</t>
  </si>
  <si>
    <t>Rate Design</t>
  </si>
  <si>
    <t>5 Yr. Historical Avg. Data for 12-CP Allocation of TRR to Customer Class</t>
  </si>
  <si>
    <t>Column</t>
  </si>
  <si>
    <t>5-Year Historical</t>
  </si>
  <si>
    <t>($)</t>
  </si>
  <si>
    <t xml:space="preserve">(Plus) Interest on Long-Term Debt (Acct. 427) </t>
  </si>
  <si>
    <t>(Plus) Amort. of Debt Disc. and Expense (Acct. 428)</t>
  </si>
  <si>
    <t>(Plus) Amortization of Loss on Reacquired Debt (Acct. 428.1)</t>
  </si>
  <si>
    <t>(Less) Amort. of Premium on Debt-Credit (Acct. 429)</t>
  </si>
  <si>
    <t xml:space="preserve">(Less) Amortization of Gain on Reacquired Debt-Credit (Acct. 429.1) </t>
  </si>
  <si>
    <t xml:space="preserve">1) PG&amp;E's Treasury uses an internal monthly Excel-based report to track historical information associated with preferred stock issuances.  Due to the age of </t>
  </si>
  <si>
    <t>each preferred stock series, many of the original hard copy records are no longer available, and electronic records were not available at time of issuance.</t>
  </si>
  <si>
    <t>Helms Pumped Storage: Pumping Load (10 Yr Avg) (kWh)</t>
  </si>
  <si>
    <t>Transmission Revenues and Expenses by Product Line</t>
  </si>
  <si>
    <t>NP&amp;S Transmission Revenue</t>
  </si>
  <si>
    <t>NP&amp;S Transmission O&amp;M Expense</t>
  </si>
  <si>
    <t>NP&amp;S Transmission A&amp;G Expense</t>
  </si>
  <si>
    <t>Total NP&amp;S Transmission Expense</t>
  </si>
  <si>
    <t>Total NP&amp;S Electric Transmission Revenues and Expenses</t>
  </si>
  <si>
    <t>Asset Retirement Costs for Transmission Plant</t>
  </si>
  <si>
    <t>(Line 600 + Line 601)/2</t>
  </si>
  <si>
    <t>(Line 500 + Line 501)/2</t>
  </si>
  <si>
    <t>(Line 400 + Line 401)/2</t>
  </si>
  <si>
    <t>FERC Transmission Plant represents only Network Transmission plant that is eligible for inclusion in rate base and recoverable through the TO rate case.</t>
  </si>
  <si>
    <t>CPUC Transmission Plant represents Transmission Plant not recoverable through the TO rate case.</t>
  </si>
  <si>
    <t>FERC Jurisdiction Transmission Plant that are eligible for inclusion in rate base, and recoverable through the TO rate case. The monthly balances in Lines 200 - 212 are the end-of-month balances for Prior Year and December of Prior Year minus 1.</t>
  </si>
  <si>
    <t>FERC Jurisdiction Transmission Plant that are eligible for inclusion in rate base, and recoverable through the TO rate case. The monthly balances in Lines 300 - 312 are the end-of-month balances for Prior Year and December of Prior Year minus 1.</t>
  </si>
  <si>
    <t>Start of</t>
  </si>
  <si>
    <t>Period (yrs)</t>
  </si>
  <si>
    <t>Docket Number</t>
  </si>
  <si>
    <t xml:space="preserve">. . . </t>
  </si>
  <si>
    <t>Total of Col 1-12</t>
  </si>
  <si>
    <t>Transmission Plant Jurisdictional</t>
  </si>
  <si>
    <t>Total Depreciation Expense for Network Transmission CGI Plant is the total of the amount related to Direct Assigned CGI Plant (Section 2) and amounts related to Residual CGI Plant (Sections 3-4) allocated to Network Transmission using labor allocation factors.</t>
  </si>
  <si>
    <t>Section 8, Line 812, col 13</t>
  </si>
  <si>
    <t>Section 1, Line 102, col 13</t>
  </si>
  <si>
    <t>Table of Contents</t>
  </si>
  <si>
    <t>Schedule</t>
  </si>
  <si>
    <t>1-BaseTRR</t>
  </si>
  <si>
    <t>2-ITRR</t>
  </si>
  <si>
    <t>3-True-upTRR</t>
  </si>
  <si>
    <t>4-ATA</t>
  </si>
  <si>
    <t>5-CostofCap-1</t>
  </si>
  <si>
    <t>5-CostofCap-2</t>
  </si>
  <si>
    <t>5-CostofCap-3</t>
  </si>
  <si>
    <t>5-CostofCap-4</t>
  </si>
  <si>
    <t>6-PlantJurisdiction</t>
  </si>
  <si>
    <t>8-AbandonedPlant</t>
  </si>
  <si>
    <t>9-PlantAdditions</t>
  </si>
  <si>
    <t>10-AccDep</t>
  </si>
  <si>
    <t>11-Depreciation</t>
  </si>
  <si>
    <t>12-DepRates</t>
  </si>
  <si>
    <t>13-WorkCap</t>
  </si>
  <si>
    <t>14-ADIT</t>
  </si>
  <si>
    <t>15-NUC</t>
  </si>
  <si>
    <t>18-OandM</t>
  </si>
  <si>
    <t>19-AandG</t>
  </si>
  <si>
    <t>20-RevenueCredits</t>
  </si>
  <si>
    <t>21-NPandS</t>
  </si>
  <si>
    <t>22-TaxRates</t>
  </si>
  <si>
    <t>23-RetailSGTax</t>
  </si>
  <si>
    <t>24-Allocators</t>
  </si>
  <si>
    <t>25-RFandUFactors</t>
  </si>
  <si>
    <t>26-WholesaleTRRs</t>
  </si>
  <si>
    <t>27-WholesaleRates</t>
  </si>
  <si>
    <t>28-GrossLoad</t>
  </si>
  <si>
    <t>29-RetailRates-1</t>
  </si>
  <si>
    <t>29-RetailRates-2</t>
  </si>
  <si>
    <t>Base Transmission Revenue Requirements</t>
  </si>
  <si>
    <t>Depreciation Rates</t>
  </si>
  <si>
    <t>Number Format</t>
  </si>
  <si>
    <t>Shading</t>
  </si>
  <si>
    <t>Reference Order</t>
  </si>
  <si>
    <t>Reference order: page (or tab) number, line number, column number, note number.  A comma separates each reference element.  Notes contained in the FERC Form 1 are not numbered (see example below).</t>
  </si>
  <si>
    <t>Workpaper Naming Conventions</t>
  </si>
  <si>
    <t>Workpaper names are prefaced with “WP_” followed by the schedule name to which it corresponds (e.g.:  WP_18-O&amp;M).  If workpapers in support of a Schedule come from different sources or support distinctly different sections of a Schedule, the workpaper name includes a short description suffix  (e.g.:  WP_25-RFandUFactors_FF, where FF describes Franchise Fees).</t>
  </si>
  <si>
    <t>Workpaper Tabs and Structure</t>
  </si>
  <si>
    <t>Workpaper tabs are numbered and do not have names or otherwise attempt to describe the contents of the workpaper with the exception of the Table of Contents sheet.</t>
  </si>
  <si>
    <t>The first sheet of a workpaper with multiple sheets is a Table of Contents.  The tab for the Table of Contents sheet is named “TOC”.  The TOC sheet lists the tab number and the description of the workpaper contents taken from the workpaper heading.</t>
  </si>
  <si>
    <t>Excel “Currency” number format is used.</t>
  </si>
  <si>
    <t>REFERENCE</t>
  </si>
  <si>
    <t>FORM OF REFERENCE</t>
  </si>
  <si>
    <t>EXAMPLE</t>
  </si>
  <si>
    <t>NOTES</t>
  </si>
  <si>
    <t>col (column # or letter)</t>
  </si>
  <si>
    <t>col k or col 6</t>
  </si>
  <si>
    <t>FERC Form No. 1</t>
  </si>
  <si>
    <t>FF1</t>
  </si>
  <si>
    <t>FF1 337.2, L. 20, col k</t>
  </si>
  <si>
    <t>FF1 234, Note(s)</t>
  </si>
  <si>
    <t>(internal reference)</t>
  </si>
  <si>
    <t>Line (line #)</t>
  </si>
  <si>
    <t>Line 25</t>
  </si>
  <si>
    <t>Internal reference – source within the same Schedule or Workpaper sheet</t>
  </si>
  <si>
    <t>(external reference)</t>
  </si>
  <si>
    <t>L. (line #)</t>
  </si>
  <si>
    <t>L. 25</t>
  </si>
  <si>
    <t>External reference – source outside the Schedule or Workpaper sheet</t>
  </si>
  <si>
    <t>Note</t>
  </si>
  <si>
    <t>Note(s) (note #, if provided)</t>
  </si>
  <si>
    <t>14-ADIT, Note 1</t>
  </si>
  <si>
    <t>FF1 450.1, Notes</t>
  </si>
  <si>
    <t>Page</t>
  </si>
  <si>
    <t>(page #)</t>
  </si>
  <si>
    <t>337.2 or 2-24</t>
  </si>
  <si>
    <t>337.2, L. 10, col k</t>
  </si>
  <si>
    <t>Nothing precedes the page number(s).</t>
  </si>
  <si>
    <t>(schedule name)</t>
  </si>
  <si>
    <t>Nothing precedes the schedule name</t>
  </si>
  <si>
    <t>Tabs</t>
  </si>
  <si>
    <t>(tab #)</t>
  </si>
  <si>
    <t>WP_29-RetailRates-2 4</t>
  </si>
  <si>
    <t>Nothing precedes the tab number.</t>
  </si>
  <si>
    <t>In the Schedules and Workpapers, those cells shaded in gold are inputs to the Formula Rate Model.</t>
  </si>
  <si>
    <t>FORMATTING:</t>
  </si>
  <si>
    <t>REFERENCES:</t>
  </si>
  <si>
    <t xml:space="preserve">1) Data for cols 1 through 7 are Prior Year revenues from PG&amp;E's Revenue Reporting System, Report R646BRESU.  Col 1 only includes Base Retail Transmission Revenues.  Any other retail transmission revenues are included in the "Other" Category. </t>
  </si>
  <si>
    <t>Net Gain (Loss) From Purchase and Tender Offers on Preferred Stock (Note 11):</t>
  </si>
  <si>
    <t>Total Amount Outstanding (sum of above):</t>
  </si>
  <si>
    <t>Net Proceeds at Issuance</t>
  </si>
  <si>
    <t>Total Annual Cost (sum of above):</t>
  </si>
  <si>
    <t>Annual
Dividend</t>
  </si>
  <si>
    <t>Total Premium/
Discount Cost</t>
  </si>
  <si>
    <t>Face Value/ Amount Outstanding</t>
  </si>
  <si>
    <t>Unamortized Issuance Cost</t>
  </si>
  <si>
    <t xml:space="preserve">Issuance Amortization Cost </t>
  </si>
  <si>
    <t>Income Taxes = [((RB * ER) + FPD) * (CTR/(1 – CTR))]  + CO/(1 – CTR)]</t>
  </si>
  <si>
    <t>Reliability Planning and Standards Development Services (CAISO GMC)</t>
  </si>
  <si>
    <t>Scheduling, System Control and Dispatch Services (CAISO GMC)</t>
  </si>
  <si>
    <t>WP_19-AandG 1, L. 106</t>
  </si>
  <si>
    <t>WP_19-AandG 1, L. 206</t>
  </si>
  <si>
    <t>WP_19-AandG 1, L. 306</t>
  </si>
  <si>
    <t>WP_19-AandG 1, L. 406</t>
  </si>
  <si>
    <t>WP_19-AandG 1, L. 506</t>
  </si>
  <si>
    <t>WP_19-AandG 1, L. 606</t>
  </si>
  <si>
    <t>WP_19-AandG 1, L. 706</t>
  </si>
  <si>
    <t>WP_19-AandG 1, L. 806</t>
  </si>
  <si>
    <t>WP_19-AandG 1, L. 906</t>
  </si>
  <si>
    <t>WP_19-AandG 1, L. 1006</t>
  </si>
  <si>
    <t xml:space="preserve">(Plus) Unamortized Premium on Long-Term Debt (Acct. 225) </t>
  </si>
  <si>
    <t xml:space="preserve">(Less) Unamortized Discount on Long-Term Debt-Debit (Acct. 226) </t>
  </si>
  <si>
    <t>24-Allocators, L. 119, 112</t>
  </si>
  <si>
    <t>FF1 234, L. 18, col c</t>
  </si>
  <si>
    <t>Total Company Accrued Vacation Liability</t>
  </si>
  <si>
    <t>End of Year Balances</t>
  </si>
  <si>
    <t>1) Please see WP_21-NPS 1 for Revenues by Product Line.</t>
  </si>
  <si>
    <t>1) Please see WP_21-NPS 2 for Expenses by Product Line.</t>
  </si>
  <si>
    <t>1-BaseTRR, L. 216</t>
  </si>
  <si>
    <t>WP_25-RFandUFactors 2, L. 104</t>
  </si>
  <si>
    <t>24-Allocators, L. 133 and 134</t>
  </si>
  <si>
    <t>3) Forecast kWh Annual Sales are from 29-RetailRates-2, col 2.</t>
  </si>
  <si>
    <t>= col 1/col 2</t>
  </si>
  <si>
    <t>= col 1/col 4</t>
  </si>
  <si>
    <t>= (col 2/col 1) * col 3</t>
  </si>
  <si>
    <t>= col 4 * col 5</t>
  </si>
  <si>
    <t>= col 6/ sum col 6</t>
  </si>
  <si>
    <t>Source: Base Transmission Revenue Requirement (TRR) 1-BaseTRR, L. 704 =</t>
  </si>
  <si>
    <t>4) Demand loss factors are based on system losses at PG&amp;E's Transmission, Primary and Secondary Distribution voltage levels of service.</t>
  </si>
  <si>
    <t>Sum Col 3 to Col 6</t>
  </si>
  <si>
    <t>END BAL per G/L</t>
  </si>
  <si>
    <t>Sum Lines 201, 301, 401, 501, 601</t>
  </si>
  <si>
    <t>Totals</t>
  </si>
  <si>
    <t>for inclusion in rate base, and recoverable through the TO rate case (as shown in WP_7-PlantInService 1). The monthly balances in Lines 200 - 212 are the end-of-month balances for Prior Year and December of Prior Year minus 1.</t>
  </si>
  <si>
    <t>for inclusion in rate base, and recoverable through the TO rate case (as shown in WP_7-PlantInService 1). The monthly balances in Lines 300 - 312 are the end-of-month balances for Prior Year and December of Prior Year minus 1.</t>
  </si>
  <si>
    <t>For the calculation of forecast Gross Plant Additions and Cost of Removal by planning order, see workpapers WP_9-PlantAdditions 1-4.</t>
  </si>
  <si>
    <t>2) Forecast kWh Billing Determinates are from 29-RetailRates-2, col 2.  Forecast kW-mo. Billing Determinants are detailed in WP_29-RetailRates 8 (A-10, E-19, E-20 and Standby Reservation).</t>
  </si>
  <si>
    <t>2) Forecast kWh Billing Determinates are from WP_29-RetailRates 8 and 9 and approved by the CPUC in D.19-02-023.</t>
  </si>
  <si>
    <t>1) Recorded sales (kWh) and 5-Year Average are from WP_29-RetailRates 4; 5; and 5a.</t>
  </si>
  <si>
    <t>3) Recorded monthly contribution coincident system peak (12-CP) data (kW) and 5-Year Average are from WP_29-RetailRates 3; 3a; and 4.</t>
  </si>
  <si>
    <t>WP_1-BaseTRR_Pyrl_Tax 2, L. 105</t>
  </si>
  <si>
    <t>WP_23-RetailSGTax 3</t>
  </si>
  <si>
    <t>See Note 4</t>
  </si>
  <si>
    <t>See Note 5</t>
  </si>
  <si>
    <t>4) The monthly deferred tax amounts are equal to the ending ADIT balance minus the beginning ADIT balance, divided by 12 months.</t>
  </si>
  <si>
    <t>5) For January through December = previous month balance plus amount in Column 2.</t>
  </si>
  <si>
    <t>1) The Source of the End of Year Accumulated Deferred Income Taxes can be found in the Purple Shaded area of WP_23-RetailSGTax 3</t>
  </si>
  <si>
    <t>2) The Source of the Beginning of Year Accumulated Deferred Income Taxes can be found in the Orange Shaded area of WP_23-RetailSGTax 3</t>
  </si>
  <si>
    <t>3) The Source of the Credits and Other can be found in the Green Shaded area of WP_23-RetailSGTax 3</t>
  </si>
  <si>
    <t>WP_14-ADIT 2, L. 100, Col 2</t>
  </si>
  <si>
    <t>WP_14-ADIT 2, L. 101, Col 2</t>
  </si>
  <si>
    <t>WP_14-ADIT 2, L. 102, Col 2</t>
  </si>
  <si>
    <t>WP_14-ADIT 2, L. 103, Col 2</t>
  </si>
  <si>
    <t>WP_14-ADIT 2, L. 104, Col 2</t>
  </si>
  <si>
    <t>WP_14-ADIT 2, L. 105, Col 2</t>
  </si>
  <si>
    <t>WP_14-ADIT 2, L. 107, Col 2</t>
  </si>
  <si>
    <t>WP_14-ADIT 2, L. 108, Col 2</t>
  </si>
  <si>
    <t>WP_14-ADIT 2, L. 109, Col 2</t>
  </si>
  <si>
    <t>WP_14-ADIT 4, L. 103, Col 2</t>
  </si>
  <si>
    <t>WP_14-ADIT 4, L. 117, Col 2</t>
  </si>
  <si>
    <t>Note 1, Note 4</t>
  </si>
  <si>
    <t>4) See WP_18-OandM for adjustment details.</t>
  </si>
  <si>
    <t>WP_19-AandG 2, L. 102</t>
  </si>
  <si>
    <t>WP_24-Allocators_Labor, L. 100, col 3</t>
  </si>
  <si>
    <t>WP_25-RFandUFactors 1, L. 102</t>
  </si>
  <si>
    <t>WP_25-RFandUFactors 3, L. 110</t>
  </si>
  <si>
    <t>WP_14-ADIT 1, L. 100, col 7</t>
  </si>
  <si>
    <t>WP_1-BaseTRR_Tax 2, L. 103</t>
  </si>
  <si>
    <t>Net Plant Property Tax Allocation Factor</t>
  </si>
  <si>
    <t>(Less) Unamortized Debt Expenses (Acct. 181)</t>
  </si>
  <si>
    <t>(Less) Unamortized Loss on Reacquired Debt (Acct. 189)</t>
  </si>
  <si>
    <t>1-BaseTRR, L. 213</t>
  </si>
  <si>
    <t xml:space="preserve">1) Input the ROE for the Prior Year on Line 200. </t>
  </si>
  <si>
    <t>Prior Year Return on Common Equity</t>
  </si>
  <si>
    <t>Total Return on Common Equity</t>
  </si>
  <si>
    <t>PG&amp;E Return on Common Equity</t>
  </si>
  <si>
    <t>Sum Lines 214 and 215</t>
  </si>
  <si>
    <t>FERC ISO Participation Incentive Adder</t>
  </si>
  <si>
    <t>3)  Summary of Total Company Adjustments</t>
  </si>
  <si>
    <t>Not Seeking Recovery</t>
  </si>
  <si>
    <t>Non A&amp;G Costs and Other</t>
  </si>
  <si>
    <t xml:space="preserve">Total by FERC Account </t>
  </si>
  <si>
    <t>Total by Adjustment Type</t>
  </si>
  <si>
    <t>Total by FERC account</t>
  </si>
  <si>
    <t>14-ADIT, L. 104, col 2</t>
  </si>
  <si>
    <t>5-CostofCap-3, L. 114</t>
  </si>
  <si>
    <t>20-RevenueCredits, L. 100, col 7</t>
  </si>
  <si>
    <t>7) Tax Normalization Calculation Pursuant to Treas. Reg §1.167(l)-1(h)(6); PLR 9313008; 9202029; 922404; 201717008 for the Forecasted Plant Additions</t>
  </si>
  <si>
    <t>Assumption Tax Depreciation - MACRS Half Year Convention over 15-Year Tax Life</t>
  </si>
  <si>
    <t>Year 1 Tax Depr Rate</t>
  </si>
  <si>
    <t>Year 2 Tax Depr Rate</t>
  </si>
  <si>
    <t>Book Deprec</t>
  </si>
  <si>
    <t>Tax Deprec</t>
  </si>
  <si>
    <t>ADIT projected</t>
  </si>
  <si>
    <t>Amortization of Excess ADIT</t>
  </si>
  <si>
    <t>Adjusted ADIT Projected</t>
  </si>
  <si>
    <t>ADIT</t>
  </si>
  <si>
    <t>Total Additions</t>
  </si>
  <si>
    <t>Impact of ADIT on Forecasted Plant Additions Plus Amortization of Excess ADIT</t>
  </si>
  <si>
    <t>Table 1 - MACRS 15-Yr Prop</t>
  </si>
  <si>
    <t>Prorata Percentages</t>
  </si>
  <si>
    <t>Monthly ADIT</t>
  </si>
  <si>
    <t>Accumulated ADIT</t>
  </si>
  <si>
    <t>Less: Depreciation Expense</t>
  </si>
  <si>
    <t>Less: Impact of ADIT</t>
  </si>
  <si>
    <t>AFCR Applicable TRR</t>
  </si>
  <si>
    <t>AFCR prior to Deprec &amp; ADIT Impacts</t>
  </si>
  <si>
    <t>Add: Depreciation Expense</t>
  </si>
  <si>
    <t>Add: Impact of ADIT</t>
  </si>
  <si>
    <t>24-Allocators, L. 116, L. 135, L. 113</t>
  </si>
  <si>
    <t>Line 204</t>
  </si>
  <si>
    <t>20-RevenueCredits, L. 100, col 8</t>
  </si>
  <si>
    <t>Line 203</t>
  </si>
  <si>
    <t>Based on Blended Labor and Plant Factor</t>
  </si>
  <si>
    <t>Line for extra data</t>
  </si>
  <si>
    <t>or Shortfall in</t>
  </si>
  <si>
    <t>Retail Revenue</t>
  </si>
  <si>
    <t>Rate Year Depr Exp (sum Jan - Dec of the Rate Year)</t>
  </si>
  <si>
    <t>WP_28-GrossLoad 2, L. 115, col 6</t>
  </si>
  <si>
    <t>See WP_10-AccDep 4, L. 122, Col 1 and Col 2</t>
  </si>
  <si>
    <t>See WP_10-AccDep 4, L. 122, Col 11</t>
  </si>
  <si>
    <t>See WP_10-AccDep 4, L. 122, Col 11 from annual update for Prior Year minus 1</t>
  </si>
  <si>
    <t>See WP_10-AccDep 4, L. 122, Col 12</t>
  </si>
  <si>
    <t>See WP_10-AccDep 4, L. 122, Col 12 from annual update for Prior Year minus 1</t>
  </si>
  <si>
    <t>See WP_10-AccDep 4, L. 122, Col 1 and Col 2 from annual update for Prior Year minus 1</t>
  </si>
  <si>
    <t>WP_15-NUC 1, L. 100, col 10</t>
  </si>
  <si>
    <t>WP_15-NUC 2, L. 100, col 10</t>
  </si>
  <si>
    <t>WP_15-NUC 2, L. 101, col 7</t>
  </si>
  <si>
    <t>WP_28-GrossLoad 1, L. 102, col 2</t>
  </si>
  <si>
    <t>WP_28-GrossLoad 7, L. 102, col 4</t>
  </si>
  <si>
    <t>WP_28-GrossLoad 6, L. 110</t>
  </si>
  <si>
    <t>ROE from Schedule 1; if there are mid-year changes, a workpaper will be provided</t>
  </si>
  <si>
    <t>See WP_7-PlantInService 5, L. 122, col 1 and col 2 from annual update for Prior Year minus 1</t>
  </si>
  <si>
    <t>See WP_7-PlantInService 5, L. 122, col 1 and col 2</t>
  </si>
  <si>
    <t>See WP_7-PlantInService 5, L. 122, col 11 from annual update for Prior Year minus 1</t>
  </si>
  <si>
    <t>See WP_7-PlantInService 5, L. 122, col 11</t>
  </si>
  <si>
    <t>See WP_7-PlantInService 5, L. 122, col 12 from annual update for Prior Year minus 1</t>
  </si>
  <si>
    <t>See WP_7-PlantInService 5, L. 122, col 12</t>
  </si>
  <si>
    <t xml:space="preserve"> . . .</t>
  </si>
  <si>
    <t>9) Amounts in Columns 2-14 are from PG&amp;E internal records (G/L account Cumulative Balance by period for SAP accounts 9204000, 9204020, Company Code PGE1)</t>
  </si>
  <si>
    <t>11) Amounts in Columns 2-14 are from PG&amp;E internal records (because of non-use, there is no SAP account)</t>
  </si>
  <si>
    <t>2140001, 2440020, Company Code PGE1)</t>
  </si>
  <si>
    <t>Rate Year Plant Additions</t>
  </si>
  <si>
    <t>Filing Year &amp; Rate Year Plt Adds Book Deprec Rate Year</t>
  </si>
  <si>
    <t>Rate Year Plt Adds Rate Year Tax Deprec</t>
  </si>
  <si>
    <t>Filing Year Plt Adds Rate Year Tax Deprec</t>
  </si>
  <si>
    <t>Federal Secondary</t>
  </si>
  <si>
    <t>Composite Income Tax Rate</t>
  </si>
  <si>
    <t>Sum of Lines 100-Line 102</t>
  </si>
  <si>
    <t>State Franchise Tax Rate (California)</t>
  </si>
  <si>
    <t>Reflects the federal tax deduction for state taxes which reduces the composite income tax rate</t>
  </si>
  <si>
    <t>Negative Line 100 * Line 101</t>
  </si>
  <si>
    <t>1) Prior Year Abandoned Plant</t>
  </si>
  <si>
    <t xml:space="preserve">Recoverable </t>
  </si>
  <si>
    <t>Costs</t>
  </si>
  <si>
    <t>BOY Balance</t>
  </si>
  <si>
    <t>23-RetailSGTax, L. 305, col 3</t>
  </si>
  <si>
    <t>23-RetailSGTax, L. 305, col 4</t>
  </si>
  <si>
    <t>Values for Inputs to Sch.1-BaseTRR</t>
  </si>
  <si>
    <t>Values for Inputs to Sch.3-True-upTRR</t>
  </si>
  <si>
    <t>For Inputs to Sch.1-BaseTRR</t>
  </si>
  <si>
    <t>For Inputs to Sch.3-True-upTRR</t>
  </si>
  <si>
    <t xml:space="preserve">FERC Participation Incentive Rate of Return </t>
  </si>
  <si>
    <t>Total Return on Capital</t>
  </si>
  <si>
    <t xml:space="preserve">Remove Return on Abandoned Plant from FERC Participation Incentive </t>
  </si>
  <si>
    <t>RAP = Return on Abandoned Plant From FERC Participation Incentive</t>
  </si>
  <si>
    <t>Income Taxes = [((RB * ER) + FPD - RAP) * (CTR/(1 – CTR))]  + CO/(1 – CTR]</t>
  </si>
  <si>
    <t>WP_14-ADIT 2, L. 106, Col 2 and WP_14-ADIT 3, L. 113</t>
  </si>
  <si>
    <t>WP_24-Allocators_Labor, L. 100, col 5</t>
  </si>
  <si>
    <t>Note 13</t>
  </si>
  <si>
    <t>5)  Partial Year True-up and TRR Allocation Factors</t>
  </si>
  <si>
    <t>(MWh)</t>
  </si>
  <si>
    <t xml:space="preserve">PG&amp;E Gross Load </t>
  </si>
  <si>
    <t>RAP = Return on Abandoned Plant From CAISO Participation Incentive</t>
  </si>
  <si>
    <t>19-AandG, L. 221</t>
  </si>
  <si>
    <t>= col 7 * TRR</t>
  </si>
  <si>
    <t>1) Populate the table with retail revenue data from the Prior Year.  Only populate if the Model was in effect in the Prior Year.</t>
  </si>
  <si>
    <t>13) Data is PG&amp;E's monthly Gross Load as measured by the CASIO monthly settlements of PG&amp;E's Gross Load.</t>
  </si>
  <si>
    <t>Net of ADIT</t>
  </si>
  <si>
    <t xml:space="preserve">Average </t>
  </si>
  <si>
    <t>2) For January through December = previous month balance plus amount in col 2.</t>
  </si>
  <si>
    <t>2) Run a query of col 2 (Natural Account) in SAP system to get col 4 and col 8.</t>
  </si>
  <si>
    <t>26-WholesaleTRRs, L. 219, col 1</t>
  </si>
  <si>
    <t>26-WholesaleTRRs, L. 219, col 2</t>
  </si>
  <si>
    <t>3) Run a query of rent in SAP system to get Line 502, col 5-6.</t>
  </si>
  <si>
    <t>1) Input the Prior Year Federal and State Income Tax Rates if they are different from the Rate Year Tax Rates.</t>
  </si>
  <si>
    <t>Unfunded Reserves</t>
  </si>
  <si>
    <t>2)  Calculation of Allocated Accrued Vacation</t>
  </si>
  <si>
    <t>1)  Summary of Unfunded Reserves Average Balances</t>
  </si>
  <si>
    <t>Beginning of year</t>
  </si>
  <si>
    <t>End of Year</t>
  </si>
  <si>
    <t>Electric Plant over Total Plant</t>
  </si>
  <si>
    <t>Sum of BOY/EOY Averages</t>
  </si>
  <si>
    <t>Authorization</t>
  </si>
  <si>
    <t>Status</t>
  </si>
  <si>
    <t>Average Balance</t>
  </si>
  <si>
    <t>EOY Balance</t>
  </si>
  <si>
    <t>8-AbandonedPlant, L. 102, col 12</t>
  </si>
  <si>
    <t>PG&amp;E will include recoverable costs in this worksheet for cancelled projects approved or pending approval by the Commission for Abandoned Plant recovery.</t>
  </si>
  <si>
    <t>(Line 115 * 1-BaseTRR, L. 219) - (1-BaseTRR, L. 221 * 8-AbandonedPlant, L. 100 and L. 101, col 11)</t>
  </si>
  <si>
    <t>Sum of EOY Values</t>
  </si>
  <si>
    <t>Allocated Preferred Stock Dividends Payable</t>
  </si>
  <si>
    <t>3)  Calculation of Allocated Preferred Stock Dividends Payable</t>
  </si>
  <si>
    <t>Dividends Declared-Preferred Stock (Acct. 437)</t>
  </si>
  <si>
    <t>Note 1:  PG&amp;E conducted a query of GL Acct 2420024 Accrued Vacation Liability and reflected the beginning-of-year (BOY) and end-of-year (EOY) recorded balances in col 1 and col 2.</t>
  </si>
  <si>
    <t>Note 2:  Amount represents a one-time accounting adjustment to increase the vacation accrual that was never reflected in operating expenses, never recovered from customers and was instead absorbed by shareholders.   Amount is a permanent deduction from the vacation accrual since the dollars were not collected in revenue requirements and should not be considered in rate base.  This was affirmed by the CPUC in Decision 14-08-032.</t>
  </si>
  <si>
    <t>Note 3:  During PG&amp;E's Chapter 11 bankruptcy, filed on January 29, 2019, the company will treat monies collected to cover preferred stock costs as unfunded reserves for ratemaking purposes.  The methodology presented here applies only during the pendency of PG&amp;E's 2019 bankruptcy, and will no longer be applicable upon the company's emergence from Chapter 11.  Accordingly, the Allocated Preferred Stock Dividends Payable will only return values for 2019 and 2020 at this time, subject to revision in future FERC filings.</t>
  </si>
  <si>
    <t>16-Unfunded Reserves</t>
  </si>
  <si>
    <t xml:space="preserve">Note 1:   Materials and Supplies month-end balances are extracted from SAP by querying by General Ledger (GL) Account. December balances are from FF1 227, L. 12, cols b and c. </t>
  </si>
  <si>
    <t>Beginning Deferred Tax Balance (Line 105, Col. 2)</t>
  </si>
  <si>
    <t>Prior Month Col 8 + Col 7</t>
  </si>
  <si>
    <t>Sub-total Additions</t>
  </si>
  <si>
    <t>1-BaseTRR, Line 405</t>
  </si>
  <si>
    <t xml:space="preserve">Total Electric </t>
  </si>
  <si>
    <t>1) Tax Rates for the Rate Year</t>
  </si>
  <si>
    <t>22-TaxRates, L. 200</t>
  </si>
  <si>
    <t>22-TaxRates, L. 201</t>
  </si>
  <si>
    <t>1-BaseTRR, L. 217</t>
  </si>
  <si>
    <t>1-BaseTRR, L. 218</t>
  </si>
  <si>
    <t>8-AbandonedPlant, Col 11, Lines 100 and 101</t>
  </si>
  <si>
    <t>8-AbandonedPlant, Col 7, Lines 100 and 101</t>
  </si>
  <si>
    <t>20-RevenueCredits, L. 100, col 5 and col 6</t>
  </si>
  <si>
    <t>6-PlantJurisdiction, L. 110, col 1 + col 3</t>
  </si>
  <si>
    <t>1) Adjusted 12-CP Cost Allocations are from 29-RetailRates-2, col 8.</t>
  </si>
  <si>
    <t>Income Taxes = [((RB * ER) + FPD - RAP) * (CTR/(1 – CTR))]  + CO/(1 – CTR)]</t>
  </si>
  <si>
    <t>12) To calculate the monthly allocation factor, take the corresponding month's Gross Load in Col 3 and divide by the total Gross Load in L. 513, Col 3.</t>
  </si>
  <si>
    <t>2)Tax Rates for the Prior Year True-up</t>
  </si>
  <si>
    <t xml:space="preserve">5) Medium Light and Power Line 106 is a subtotal of Lines 102 through 105; Agriculture Line 110 is a subtotal of Lines 108 and 109; Schedule E-20 Line 114 is a subtotal of Lines 111 through 113; Total - Full Requirements Line 115 is a subtotal of Lines 100, 101, 106, 107, 110 and 114; Standby Line 119 is a subtotal of Lines 116 through 118; Totals - Retail Line 120 is a total of Line 115 and 119. </t>
  </si>
  <si>
    <t xml:space="preserve">5) Corrections or Adjustments applied to Line 201 from previously-filed Annual Updates are outlined in Section 4.6.5 of the Protocols. </t>
  </si>
  <si>
    <t xml:space="preserve">Unamortized Preferred Stock Issuance and Expense Costs (Note 10): </t>
  </si>
  <si>
    <t>10) Amounts in Columns 2-14 are from PG&amp;E internal records (equal to the negative sum of G/L account for SAP accounts 2070020, 2130020, and 2140020; Company Code PGE1)</t>
  </si>
  <si>
    <t>DEPRECIATION RATES (Note 1)</t>
  </si>
  <si>
    <t>1-BaseTRR, Line 405/12</t>
  </si>
  <si>
    <t>Col 3 - Col 4 * 1-BaseTRR Line 402</t>
  </si>
  <si>
    <t>Col 8 * Col 9</t>
  </si>
  <si>
    <t>Col 6, Lines 600-612</t>
  </si>
  <si>
    <t>9-PlantAdditions Col 1, Lines 100-111</t>
  </si>
  <si>
    <t>Prior Month Col 11 + Col 10</t>
  </si>
  <si>
    <t>Col 3 - Col 4 - Col 5 * 1-BaseTRR Line 402</t>
  </si>
  <si>
    <t>9-PlantAdditions Col 1, Lines 112-123</t>
  </si>
  <si>
    <t>Col 2 * Col 1, Line 729</t>
  </si>
  <si>
    <t>Col 2, Line 712 * Col 1, Line 730/12</t>
  </si>
  <si>
    <t>4) Apply plant allocation factors after running a query of Natural Account in SAP system to get Line 612, col 5-6.</t>
  </si>
  <si>
    <t>Total Project</t>
  </si>
  <si>
    <t>a</t>
  </si>
  <si>
    <t>b</t>
  </si>
  <si>
    <t>c</t>
  </si>
  <si>
    <t>(1-BaseTRR, L. 111c x 1-BaseTRR, L. 220) x (1+1-BaseTRR, L. 402/(1 - 1-BaseTRR, L. 402)) + (1-BaseTRR, L. 111c x 1-BaseTRR, L 216)</t>
  </si>
  <si>
    <t>Adjusted Cost</t>
  </si>
  <si>
    <t>Alloc. Factors</t>
  </si>
  <si>
    <t>(w/standby)</t>
  </si>
  <si>
    <t>scale to 100%</t>
  </si>
  <si>
    <t>Calculation of Prior Year Network Electric Transmission Labor Allocation Factors</t>
  </si>
  <si>
    <t>Network Electric Transmission Wages and Salaries</t>
  </si>
  <si>
    <t>Network Electric Transmission Labor as a % of Total Electric Allocation Factor</t>
  </si>
  <si>
    <t>Network Electric Transmission Labor as a % of Total Company Allocation Factor</t>
  </si>
  <si>
    <t>Network Electric Transmission Gross Plant In Service including CGI Plant</t>
  </si>
  <si>
    <t>Network Electric Transmission Plant as a % of Total Company Plant</t>
  </si>
  <si>
    <t>Network Electric Transmission Plant as a % of Total Electric Plant</t>
  </si>
  <si>
    <t>Network Electric Transmission Plant - Functional Plant only</t>
  </si>
  <si>
    <t>Network Electric Transmission as a % of Total Electric Transmission</t>
  </si>
  <si>
    <t>Network Electric Transmission Rate Year Functional Plant</t>
  </si>
  <si>
    <t>Network Electric Transmission Accumulated Depreciation including CGI</t>
  </si>
  <si>
    <t>Network Electric Transmission Net Plant in Service (Functional + CGI)</t>
  </si>
  <si>
    <t>Calculation of Rate Year High Voltage/Low Voltage Electric Transmission Plant Allocation Factor</t>
  </si>
  <si>
    <t>Order 864 Permanent Worksheet(s) Category 1 Information</t>
  </si>
  <si>
    <t>Category 2 Information</t>
  </si>
  <si>
    <t>Category 3 Information</t>
  </si>
  <si>
    <t>Category 5 Information</t>
  </si>
  <si>
    <t>Category 4 Information</t>
  </si>
  <si>
    <t>Col 16</t>
  </si>
  <si>
    <t>Col 17</t>
  </si>
  <si>
    <t xml:space="preserve">ADIT Balance </t>
  </si>
  <si>
    <t>Remeasurement</t>
  </si>
  <si>
    <t>(Excess)/Deficient</t>
  </si>
  <si>
    <t>UNAMORTIZED EXCESS FEDERAL ACCUMULATED DEFERRED INCOME TAXES</t>
  </si>
  <si>
    <t>Prior to TCJA</t>
  </si>
  <si>
    <t>ADIT Balance</t>
  </si>
  <si>
    <t>Beg Bal</t>
  </si>
  <si>
    <t>ADIT Amortization</t>
  </si>
  <si>
    <t>End Bal</t>
  </si>
  <si>
    <t>@ 35% FIT</t>
  </si>
  <si>
    <t>@ 21% FIT</t>
  </si>
  <si>
    <t>ADIT Recorded</t>
  </si>
  <si>
    <t xml:space="preserve">PROTECTED </t>
  </si>
  <si>
    <t>UNPROTECTED</t>
  </si>
  <si>
    <t>Period</t>
  </si>
  <si>
    <t>Recorded</t>
  </si>
  <si>
    <t>Acct 182.3 / Acct 254</t>
  </si>
  <si>
    <t>FIXED ASSETS</t>
  </si>
  <si>
    <t>NON FIXED ASSETS</t>
  </si>
  <si>
    <t>TOTALS</t>
  </si>
  <si>
    <t>Acct 410.1 / Acct 411.1</t>
  </si>
  <si>
    <t>Method Life</t>
  </si>
  <si>
    <t>ARAM</t>
  </si>
  <si>
    <t>Fixed Assets Book Tax Basis Differences</t>
  </si>
  <si>
    <t>Non Fixed Assets Book Tax Basis Differences</t>
  </si>
  <si>
    <t>Non Fixed Asset Book Tax Differences</t>
  </si>
  <si>
    <t>Net Operating Loss Carryover</t>
  </si>
  <si>
    <t>Adjustments to December 31, 2017 Amounts</t>
  </si>
  <si>
    <t>Total Including Adjustments</t>
  </si>
  <si>
    <t>Details of ADIT</t>
  </si>
  <si>
    <t>Total Cost of Removal</t>
  </si>
  <si>
    <t>Total Fixed Assets Book Tax Basis Differences</t>
  </si>
  <si>
    <t>Total Non Fixed Assets Book Tax Basis Differences</t>
  </si>
  <si>
    <t>Total Non Fixed Asset Book Tax Differences</t>
  </si>
  <si>
    <t>Some Schedules have a"…" row.  These rows are intended for new data to be added in a future update.</t>
  </si>
  <si>
    <t xml:space="preserve">  Total Method Life</t>
  </si>
  <si>
    <t>Weighted Average ADIT Balance</t>
  </si>
  <si>
    <t>Issue #1</t>
  </si>
  <si>
    <t>BOY Unamortized Excess Federal Accumulated Deferred Income Taxes</t>
  </si>
  <si>
    <t>EOY Unamortized Excess Federal Accumulated Deferred Income Taxes</t>
  </si>
  <si>
    <t>17-RegAssets-1, L. 201</t>
  </si>
  <si>
    <t>17-RegAssets-1, L. 203</t>
  </si>
  <si>
    <t>2) Unamortized Excess ADIT and Tax Normalization Calculation Pursuant to Treas. Reg §1.167(l)-1(h)(6); PLR 9313008; 9202029; 922404; 201717008</t>
  </si>
  <si>
    <t>Line 1 * 1-BaseTRR, L. 111c</t>
  </si>
  <si>
    <t>Note 1: The monthly deferred tax amounts are equal to the ending ADIT balance minus the beginning ADIT balance, divided by 12 months.</t>
  </si>
  <si>
    <t>Note 2: For January through December = previous month balance plus amount in col 2.</t>
  </si>
  <si>
    <t>Line 103, col 2</t>
  </si>
  <si>
    <t>Line 217, Col 8</t>
  </si>
  <si>
    <t>Beginning Deferred Tax Balance (Line 200)</t>
  </si>
  <si>
    <t>Col 5 - Col 10</t>
  </si>
  <si>
    <t>Sum Col 5 to Col 7</t>
  </si>
  <si>
    <t>Col 6 - Col 11</t>
  </si>
  <si>
    <t>Col 7 - Col 12</t>
  </si>
  <si>
    <t>Sum Col 14 to Col 16</t>
  </si>
  <si>
    <t>Col 6 / Tot. Days</t>
  </si>
  <si>
    <t>= Col 3 * Col 7</t>
  </si>
  <si>
    <t>Col 9 Prior Mth + Col 8 Current Mth</t>
  </si>
  <si>
    <t>PRIOR PERIOD AMORTIZATION OF EXCESS FEDERAL ACCUMULATED DEFERRED INCOME TAXES</t>
  </si>
  <si>
    <t>UNAMORTIZED EXCESS FEDERAL ACCUMULATED DEFERRED INCOME TAXES - BEGINNING BALANCE</t>
  </si>
  <si>
    <t>Col 18</t>
  </si>
  <si>
    <t>Col 19</t>
  </si>
  <si>
    <t>Col 20</t>
  </si>
  <si>
    <t>CURRENT PERIOD AMORTIZATION OF EXCESS FEDERAL ACCUMULATED DEFERRED INCOME TAXES</t>
  </si>
  <si>
    <t>Col 21</t>
  </si>
  <si>
    <t>Col 22</t>
  </si>
  <si>
    <t>Col 23</t>
  </si>
  <si>
    <t>Col 24</t>
  </si>
  <si>
    <t>UNAMORTIZED EXCESS FEDERAL ACCUMULATED DEFERRED INCOME TAXES - ENDING BALANCE</t>
  </si>
  <si>
    <t>Col 14 - Col 18</t>
  </si>
  <si>
    <t>Col 15 - Col 19</t>
  </si>
  <si>
    <t>Col 16 - Col 20</t>
  </si>
  <si>
    <t>Sum Col 21 to Col 23</t>
  </si>
  <si>
    <t>1) Calculation of Regulatory Assets and Liabilities and Amortization of Debits and Credits</t>
  </si>
  <si>
    <t>3) Formula for Line 728 (Line 727 x 1-BaseTRR L. 220) x (1-BaseTRR L. 402/(1 - 1-BaseTRR L. 402))+(Line 727 x 1-BaseTRR L 216)</t>
  </si>
  <si>
    <t>16-UnfundedReserves, L. 101, col 2</t>
  </si>
  <si>
    <t>16-UnfundedReserves, L. 100, col 2</t>
  </si>
  <si>
    <t>1) Depreciation Rates in this Schedule cannot be changed without FERC authorization from a Section 205 or 206 filing.</t>
  </si>
  <si>
    <t>3)  Account 350.02-Land Rights, was calculated by using the composite depreciation rate excluding net salvage for transmission plant, as of December 31, 2017, to arrive at the stated rate shown (Line 110, col 10).  This rate cannot be changed absent a section 205 or 206 filing.</t>
  </si>
  <si>
    <t>STIP</t>
  </si>
  <si>
    <t>Officer Compensation</t>
  </si>
  <si>
    <t>Accrual to Cash Basis</t>
  </si>
  <si>
    <t>NP&amp;S</t>
  </si>
  <si>
    <t>Allocations on Adjustments</t>
  </si>
  <si>
    <t>17-RegAssets-1, L. 102</t>
  </si>
  <si>
    <t>13-Month Average (Sum Lines 111 to 123)/13:</t>
  </si>
  <si>
    <t>17-RegAssets-1, L. 100</t>
  </si>
  <si>
    <t>Line 202 - (Line 203 - Line 206)</t>
  </si>
  <si>
    <t>Line 213 * Line 214</t>
  </si>
  <si>
    <t>Transmission Portion of General Liability Insurance and Injuries and Damages:</t>
  </si>
  <si>
    <t>Line 217 * Line 218</t>
  </si>
  <si>
    <t>Line 221 + Line 222</t>
  </si>
  <si>
    <t>WP_14-ADIT 7, L. 100, Col 6</t>
  </si>
  <si>
    <t>WP_14-ADIT 7, L. 101 , col 6</t>
  </si>
  <si>
    <t>17-RegAssets-1</t>
  </si>
  <si>
    <t>17-RegAssets-2</t>
  </si>
  <si>
    <t>STIP Adjustment pursuant to TO20 Settlement Agreement (Docket No. ER19-13-000)</t>
  </si>
  <si>
    <t>Less General Liability and Third Party Claims</t>
  </si>
  <si>
    <t>WP_19-AandG 3, L. 220</t>
  </si>
  <si>
    <t>4)  Calculation of Transition Cost</t>
  </si>
  <si>
    <t>Transition Cost</t>
  </si>
  <si>
    <t>Liability Insurance Allocation Factor</t>
  </si>
  <si>
    <t>Allocated Injuries and Damages</t>
  </si>
  <si>
    <t>5)  Calculation of Injuries and Damages</t>
  </si>
  <si>
    <t>40% Plant / 60%</t>
  </si>
  <si>
    <t>14-ADIT, L. 108, col 2</t>
  </si>
  <si>
    <t>6)  Calculation of Severances</t>
  </si>
  <si>
    <t>Severance</t>
  </si>
  <si>
    <t>See Note 11</t>
  </si>
  <si>
    <t>Global Settlement Value</t>
  </si>
  <si>
    <t>End of Year; enter negative</t>
  </si>
  <si>
    <t>Same as Line 114, but negative</t>
  </si>
  <si>
    <t>Same as Line 113, but reverse sign</t>
  </si>
  <si>
    <t>End of Year, but reverse sign</t>
  </si>
  <si>
    <t>Total Proprietary Capital  (Note 12)</t>
  </si>
  <si>
    <t>5-CostofCap-2, L. 100, col 14</t>
  </si>
  <si>
    <t>5-CostofCap-2, L. 101, col 14</t>
  </si>
  <si>
    <t>5-CostofCap-2, L. 102, col 14</t>
  </si>
  <si>
    <t>5-CostofCap-2, L. 103, col 14</t>
  </si>
  <si>
    <t>5-CostofCap-2, L. 104, col 14</t>
  </si>
  <si>
    <t>5-CostofCap-2, L. 105, col 14</t>
  </si>
  <si>
    <t>5-CostofCap-2, L. 106, col 14</t>
  </si>
  <si>
    <t>5-CostofCap-2, L. 107, col 14</t>
  </si>
  <si>
    <t>5-CostofCap-2, L. 108, col 14</t>
  </si>
  <si>
    <t>5-CostofCap-2, L. 109, col 14</t>
  </si>
  <si>
    <t>5-CostofCap-2, L. 110, col 14</t>
  </si>
  <si>
    <t>5-CostofCap-2, L. 111, col 14</t>
  </si>
  <si>
    <t>5-CostofCap-2, L. 112, col 14</t>
  </si>
  <si>
    <t>5-CostofCap-2, L. 113, col 14</t>
  </si>
  <si>
    <t>Adjustment for Forecasted Proration vs Actual Proration:</t>
  </si>
  <si>
    <t>Adjusted Average ADIT</t>
  </si>
  <si>
    <t>WP_14_ADIT, Tab 8, Col 13, Line 130</t>
  </si>
  <si>
    <t>Line 106 + Line 107</t>
  </si>
  <si>
    <t>Sum Lines 205, 303, 401, 503, 603</t>
  </si>
  <si>
    <t>Sum col 2, Lines 204, 302, 400, 502, 602</t>
  </si>
  <si>
    <t>see Note 4</t>
  </si>
  <si>
    <t xml:space="preserve">Note 5: Per Global Settlement Agreement for TO20, the parties agreed to include incremental additional accrual amounts for injuries and damages and severances in the calculation of unfunded reserves.  For 2020 True-Up, the beginning rate base balance is $0 with the ending balance rate base balance equals to the incremental accruals from 2020.  </t>
  </si>
  <si>
    <r>
      <t xml:space="preserve">Note 4: Per Global Settlement Agreement for TO20, the parties agreed a transitional cost for </t>
    </r>
    <r>
      <rPr>
        <sz val="11"/>
        <rFont val="Calibri"/>
        <family val="2"/>
      </rPr>
      <t>75%</t>
    </r>
    <r>
      <rPr>
        <sz val="11"/>
        <rFont val="Calibri"/>
        <family val="2"/>
        <scheme val="minor"/>
      </rPr>
      <t xml:space="preserve"> of liabilities as of 12/31/2019 for severance and injuries and damages due to conversion from cash to accrual basis.  The unfunded reserves will be provided begining in RY2022 Annual Update, filed in 2021 which is the True-Up for 2020.  For 2020 True-Up, the beginning rate base balance is $0 with the ending balance rate base balance equals to the agreed transition cost.  The True-Ups of 2021 through 2023 in the FY 2023 through FY 2025 Annual Updates would reflect a beginning balance and ending balance of agreed transition cost.</t>
    </r>
  </si>
  <si>
    <t>Prepaid property insurance is allocated to Electric Transmission Network (ETN) based on plant ratios.  Prepaid liability insurance is allocated to ETN based on a 40% plant, 60% labor ratio.  Other prepayments are allocated to ETN based on the labor ratio.</t>
  </si>
  <si>
    <t>WP_16-UnfundedReserves, L. 101 and L. 105, See Note 5</t>
  </si>
  <si>
    <t>WP_16-UnfundedReserves, L. 201 and L. 205, See Note 5</t>
  </si>
  <si>
    <t>70 - R3</t>
  </si>
  <si>
    <t>46 - R2</t>
  </si>
  <si>
    <t>55 - R1.5</t>
  </si>
  <si>
    <t>75 - R4</t>
  </si>
  <si>
    <t>54 - R1.5</t>
  </si>
  <si>
    <t>65 - R2</t>
  </si>
  <si>
    <t>65 - R4</t>
  </si>
  <si>
    <t>55 - R3</t>
  </si>
  <si>
    <t>60 - R1.5</t>
  </si>
  <si>
    <t>2) COMMON, GENERAL AND INTANGIBLE (CGI) PLANT (Note 4)</t>
  </si>
  <si>
    <t>1) ELECTRIC TRANSMISSION PLANT (Note 2)</t>
  </si>
  <si>
    <t>7-PlantInService, 
L. 112, Col 3-12</t>
  </si>
  <si>
    <t>Col 1 x Col 2</t>
  </si>
  <si>
    <t>10-AccDep, 
L. 112, Col 3-12</t>
  </si>
  <si>
    <t xml:space="preserve"> Col 1 - Col 3 - Col 4</t>
  </si>
  <si>
    <t>Col 1 x Col 9</t>
  </si>
  <si>
    <t>Func</t>
  </si>
  <si>
    <t>DEPRECIATION</t>
  </si>
  <si>
    <t>ACCRUAL RATES</t>
  </si>
  <si>
    <t>Col 2 * 
(12-DepRates, L. 110, col 9)/12</t>
  </si>
  <si>
    <t>Network Electric Transmisison as a % of Total Company Liability Insurance Allocation Factor (60% Labor/40% Plant)</t>
  </si>
  <si>
    <t>Network Electric Transmission as a % of Total Electric Liability Insurance Allocation Factor (60% Labor/40% Plant)</t>
  </si>
  <si>
    <t>24-Allocators, L. 141</t>
  </si>
  <si>
    <t>Pursuant to the TO20 Settlement agreement in FERC Docket ER19-13-000, beginning with Rate Year 2022 the FERC Form 2 column will be blank because PG&amp;E will base it’s A&amp;G cost request solely on the FERC Form 1.  Therefore, beginning with Rate Year 2022, the following data will be updated as follows:
(1) Line 206: the Electric O&amp;M Labor Allocation Factor will be 100%;
(2) Line 211: the Network Transmission Plant Allocation Factor as a percent of Total Company will be updated as Network Electric Transmission Plant as a % of Total Electric Plant (24-Allocators, Line 119);
(3) Line 216: the Factor using the combined O&amp;M Labor and Plant Factor will be updated to use 24-Allocators, Line 136.</t>
  </si>
  <si>
    <t>1) Global Settlement Value. The ROE is inclusive of all ROE-related incentives, current or future, during the Term of this Settlement.</t>
  </si>
  <si>
    <t>2) Global Settlement Value. Per Settlement, no additional CAISO incentive to be added to the ROE of 10.45% during the Term of this Settlement.</t>
  </si>
  <si>
    <t>4) For FERC authorized Other Regulatory Assets in Section 1 of Schedule 17-RegAssets1, which are not otherwise recovered in O&amp;M or A&amp;G expenses.</t>
  </si>
  <si>
    <t>Total High Voltage Abandoned Plant (sum from below)</t>
  </si>
  <si>
    <t>Total Low Voltage Abandoned Plant (sum from below)</t>
  </si>
  <si>
    <t>Not Used</t>
  </si>
  <si>
    <t>Col 2 * 12-DepRates, Col 9, Line 110/12 * Remaining Months</t>
  </si>
  <si>
    <t>((Col 2, Line 712/12)*12-DepRates, Col 9, Line 110) + ((Col 2*12-DepRates, Col 9, Line 110/)12 * Remaining Months)</t>
  </si>
  <si>
    <t>Set at 49.75</t>
  </si>
  <si>
    <t>Set at 0.5%</t>
  </si>
  <si>
    <t>Line 117 - Line 137</t>
  </si>
  <si>
    <t>Line 118 - Line 138</t>
  </si>
  <si>
    <t>Line 139 / Line 140</t>
  </si>
  <si>
    <t>Total Company Prepayments</t>
  </si>
  <si>
    <t>Allocation Method from Total Company to Electric Transmission Network</t>
  </si>
  <si>
    <t>24-Allocators, L. 122, 116, 113</t>
  </si>
  <si>
    <t>WP_1-BaseTRR_Tax 1, L. 100</t>
  </si>
  <si>
    <t>WP_1-BaseTRR_Tax 3, L. 100</t>
  </si>
  <si>
    <t>Electric Labor</t>
  </si>
  <si>
    <t>Total Company</t>
  </si>
  <si>
    <t>Total Company Labor</t>
  </si>
  <si>
    <t xml:space="preserve">Gas and Other </t>
  </si>
  <si>
    <t>Non-ISO Related Costs</t>
  </si>
  <si>
    <t>(Col 6 + Col 8)/2</t>
  </si>
  <si>
    <t>Col 9 * Composite Tax Rate</t>
  </si>
  <si>
    <t>Col 8 - Col 10</t>
  </si>
  <si>
    <t>8-AbandonedPlant, L. 102, col 11</t>
  </si>
  <si>
    <t>8-AbandonedPlant, L. 102, col 7</t>
  </si>
  <si>
    <t>(5-CostofCap-3, L. 113 / [(5-CostofCap-2, L. 100 - L. 101 + L. 102 + L. 103 + L. 104) - (sum L. 105 to L. 107)]) * 1-BaseTRR, L. 208</t>
  </si>
  <si>
    <t>Col 9 - Col 10</t>
  </si>
  <si>
    <t>2) Depreciation Rates in Cols 9, 10, and 11 are settled rates. Please see the the Offer of Settlement from PG&amp;E's October 15, 2020 global settlement filing.</t>
  </si>
  <si>
    <r>
      <t>(Excess)</t>
    </r>
    <r>
      <rPr>
        <b/>
        <sz val="9.35"/>
        <rFont val="Calibri"/>
        <family val="2"/>
      </rPr>
      <t>/</t>
    </r>
    <r>
      <rPr>
        <b/>
        <sz val="11"/>
        <rFont val="Calibri"/>
        <family val="2"/>
      </rPr>
      <t>Deficient</t>
    </r>
    <r>
      <rPr>
        <b/>
        <sz val="11"/>
        <rFont val="Calibri"/>
        <family val="2"/>
        <scheme val="minor"/>
      </rPr>
      <t xml:space="preserve"> Accumulated Deferred Income Taxes</t>
    </r>
  </si>
  <si>
    <r>
      <t>Total (Excess)</t>
    </r>
    <r>
      <rPr>
        <b/>
        <sz val="9.35"/>
        <rFont val="Calibri"/>
        <family val="2"/>
      </rPr>
      <t>/</t>
    </r>
    <r>
      <rPr>
        <b/>
        <sz val="11"/>
        <rFont val="Calibri"/>
        <family val="2"/>
      </rPr>
      <t>Deficient</t>
    </r>
    <r>
      <rPr>
        <b/>
        <sz val="9.35"/>
        <rFont val="Calibri"/>
        <family val="2"/>
      </rPr>
      <t xml:space="preserve"> </t>
    </r>
    <r>
      <rPr>
        <b/>
        <sz val="11"/>
        <rFont val="Calibri"/>
        <family val="2"/>
        <scheme val="minor"/>
      </rPr>
      <t>and Accumulated Deferred Income Taxes</t>
    </r>
  </si>
  <si>
    <r>
      <t xml:space="preserve">Amortization of (Excess) </t>
    </r>
    <r>
      <rPr>
        <sz val="11"/>
        <rFont val="Calibri"/>
        <family val="2"/>
      </rPr>
      <t>Deficient</t>
    </r>
    <r>
      <rPr>
        <sz val="11"/>
        <rFont val="Calibri"/>
        <family val="2"/>
        <scheme val="minor"/>
      </rPr>
      <t xml:space="preserve"> Deferred Tax Liability</t>
    </r>
  </si>
  <si>
    <t>Note A</t>
  </si>
  <si>
    <t>Note B</t>
  </si>
  <si>
    <t>Note C</t>
  </si>
  <si>
    <t>Note D</t>
  </si>
  <si>
    <t>Note E</t>
  </si>
  <si>
    <t>This Schedule 17-RegAsset-2 reflects the federal income tax rate change due to the Tax Cuts and Job Act (TCJA).  This Schedule will be replicated for each tax rate change after the TCJA (see 17-RegAsset-3).</t>
  </si>
  <si>
    <t>Reflects the deferred tax liability (DTL) for the difference between book and tax depreciation methods and depreciable lives on plant capitalized for both book and tax.  Method life is a protected timing difference.</t>
  </si>
  <si>
    <t>Reflects the deferred tax asset (DTA) difference between the book accrual and actual spending for cost of removal.</t>
  </si>
  <si>
    <t>Reflects the DTL difference between tax basis deductions and book depreciation on these tax basis deductions.</t>
  </si>
  <si>
    <t>Reflects the DTA difference between non-fixed asset tax deductions and book deductions.</t>
  </si>
  <si>
    <t>Reflects the tax net operating loss DTA.  The net operating loss DTA is protected.</t>
  </si>
  <si>
    <t>Note F</t>
  </si>
  <si>
    <t>Basis for allocation is the 2017 value from Tab 24-Allocators, Rows 17 and 23 for common and direct function groups, respectively.</t>
  </si>
  <si>
    <t>Note G</t>
  </si>
  <si>
    <t>Pursuant to ER17-2154-002 OFFER OF SETTLEMENT AND STIPULATION, Section 2.1.1.</t>
  </si>
  <si>
    <t>Note H</t>
  </si>
  <si>
    <t xml:space="preserve">The “grossed-up” portion from Column 25 is excluded from rate base. </t>
  </si>
  <si>
    <t>Note I</t>
  </si>
  <si>
    <t>The TO19 settlement provided for a base 130-months amortization subject to adjustment per Section 2.2.1.  As a result, the overall amortization period may not be 130-months.  </t>
  </si>
  <si>
    <t>Col 0</t>
  </si>
  <si>
    <t>Originating</t>
  </si>
  <si>
    <t xml:space="preserve">Originating </t>
  </si>
  <si>
    <t>Excess/Deficient</t>
  </si>
  <si>
    <t>Timing</t>
  </si>
  <si>
    <t>Difference</t>
  </si>
  <si>
    <t>(Excess)/Deficient ADIT</t>
  </si>
  <si>
    <t>Acct # 254</t>
  </si>
  <si>
    <t>Acct # 182.3</t>
  </si>
  <si>
    <t>Acct #</t>
  </si>
  <si>
    <t>Includes Cost of Removal</t>
  </si>
  <si>
    <t>Acct # 282</t>
  </si>
  <si>
    <t>Acct # 190/ # 282</t>
  </si>
  <si>
    <t>Acct # 190</t>
  </si>
  <si>
    <t>ARAM/Years</t>
  </si>
  <si>
    <t>130 Months (Note G)</t>
  </si>
  <si>
    <t>130 Months</t>
  </si>
  <si>
    <t>Acct # 411.1</t>
  </si>
  <si>
    <t>Acct # 410.1</t>
  </si>
  <si>
    <t>Col 25</t>
  </si>
  <si>
    <t>Col 24 x Gross-up</t>
  </si>
  <si>
    <t>Including Gross-up of</t>
  </si>
  <si>
    <t>TBD</t>
  </si>
  <si>
    <r>
      <t xml:space="preserve">Amortization of (Excess)/Deficient Deferred Federal </t>
    </r>
    <r>
      <rPr>
        <b/>
        <sz val="9.35"/>
        <rFont val="Calibri"/>
        <family val="2"/>
      </rPr>
      <t>and State</t>
    </r>
    <r>
      <rPr>
        <b/>
        <sz val="11"/>
        <rFont val="Calibri"/>
        <family val="2"/>
        <scheme val="minor"/>
      </rPr>
      <t xml:space="preserve"> Income Taxes (Note 1)</t>
    </r>
  </si>
  <si>
    <t>PRIOR PERIOD AMORTIZATION OF (EXCESS)/DEFICIENT FEDERAL ACCUMULATED DEFERRED INCOME TAXES</t>
  </si>
  <si>
    <t>CURRENT PERIOD AMORTIZATION OF (EXCESS)/DEFICIENT FEDERAL ACCUMULATED DEFERRED INCOME TAXES</t>
  </si>
  <si>
    <t>UNAMORTIZED (EXCESS)/DEFICIENT FEDERAL ACCUMULATED DEFERRED INCOME TAXES</t>
  </si>
  <si>
    <t>UNAMORTIZED (EXCESS)/DEFICIENT FEDERAL ACCUMULATED DEFERRED INCOME TAXES - BEGINNING BALANCE</t>
  </si>
  <si>
    <t>UNAMORTIZED (EXCESS)/DEFICIENT FEDERAL ACCUMULATED DEFERRED INCOME TAXES - ENDING BALANCE</t>
  </si>
  <si>
    <r>
      <t xml:space="preserve">Prior to </t>
    </r>
    <r>
      <rPr>
        <b/>
        <strike/>
        <sz val="8.8000000000000007"/>
        <rFont val="Calibri"/>
        <family val="2"/>
      </rPr>
      <t>TCJA</t>
    </r>
  </si>
  <si>
    <t>131 Months (Note G)</t>
  </si>
  <si>
    <t>ADIT Item 1</t>
  </si>
  <si>
    <t>Adjustment for Abandoned Plant</t>
  </si>
  <si>
    <t>FERC CA Method/Life</t>
  </si>
  <si>
    <t>FERC Fed Method/Life</t>
  </si>
  <si>
    <t>FERC St Off Method/Life</t>
  </si>
  <si>
    <t xml:space="preserve">  Cost of Removal</t>
  </si>
  <si>
    <t>FERC Audit Adjustment</t>
  </si>
  <si>
    <t>FERC Fed 1033 Involuntary Conv</t>
  </si>
  <si>
    <t>FERC Fed 263a F&amp;C 2014</t>
  </si>
  <si>
    <t>FERC Fed 263a F&amp;C Fed</t>
  </si>
  <si>
    <t>FERC Fed AFUDC Equity</t>
  </si>
  <si>
    <t>FERC Fed Audit Adj Bonus</t>
  </si>
  <si>
    <t>FERC Fed Casualty Loss 2008</t>
  </si>
  <si>
    <t>FERC Fed CIAC</t>
  </si>
  <si>
    <t>FERC Fed COR Fed</t>
  </si>
  <si>
    <t>FERC Fed ITC Basis Red</t>
  </si>
  <si>
    <t>FERC Fed Other Book Only</t>
  </si>
  <si>
    <t>FERC Fed Overheads</t>
  </si>
  <si>
    <t>FERC Fed Repair 2014</t>
  </si>
  <si>
    <t>FERC Fed Repair 2014 Fed</t>
  </si>
  <si>
    <t>FERC Fed Repair Allow</t>
  </si>
  <si>
    <t>FERC Fed Repair Fed</t>
  </si>
  <si>
    <t>FERC Fed Software</t>
  </si>
  <si>
    <t>FERC Fed Software CA NO</t>
  </si>
  <si>
    <t>FERC Fed Software FT-</t>
  </si>
  <si>
    <t>FERC Fed TOA Capitalization</t>
  </si>
  <si>
    <t>FERC Fed TOA Capitalization CA Norm</t>
  </si>
  <si>
    <t>FERC Fed TOA Software Other</t>
  </si>
  <si>
    <t>FERC Reg Plant Disallowance</t>
  </si>
  <si>
    <t>FERC St Off 1033 Involuntary Conv</t>
  </si>
  <si>
    <t>FERC St Off 263a F&amp;C 2014</t>
  </si>
  <si>
    <t>FERC St Off 263a F&amp;C CA</t>
  </si>
  <si>
    <t>FERC St Off 263a F&amp;C Fed</t>
  </si>
  <si>
    <t>FERC St Off AFUDC Equity</t>
  </si>
  <si>
    <t>FERC St Off AFUDC Equity CA</t>
  </si>
  <si>
    <t>FERC St Off Audit Adjustment</t>
  </si>
  <si>
    <t>FERC St Off Audit Adjustment CA</t>
  </si>
  <si>
    <t>FERC St Off Casualty Loss 2008</t>
  </si>
  <si>
    <t>FERC St Off CIAC</t>
  </si>
  <si>
    <t>FERC St Off COR Fed</t>
  </si>
  <si>
    <t>FERC St Off ITC Basis Red</t>
  </si>
  <si>
    <t>FERC St Off ITC Basis Red CA</t>
  </si>
  <si>
    <t>FERC St Off Other Book Only</t>
  </si>
  <si>
    <t>FERC St Off Overheads</t>
  </si>
  <si>
    <t>FERC St Off Overheads CA</t>
  </si>
  <si>
    <t>FERC St Off Reg Plant Disallow Fed</t>
  </si>
  <si>
    <t>FERC St Off Repair 2014</t>
  </si>
  <si>
    <t>FERC St Off Repair 2014 CA</t>
  </si>
  <si>
    <t>FERC St Off Repair 2014 Fed</t>
  </si>
  <si>
    <t>FERC St Off Repair Allow</t>
  </si>
  <si>
    <t>FERC St Off Repair Allow CA</t>
  </si>
  <si>
    <t>FERC St Off Repair CA</t>
  </si>
  <si>
    <t>FERC St Off Repair Fed</t>
  </si>
  <si>
    <t>FERC St Off Software</t>
  </si>
  <si>
    <t>FERC St Off Software CA NO</t>
  </si>
  <si>
    <t>FERC St Off Software FT-</t>
  </si>
  <si>
    <t>FERC St Off TOA Capital CA Norm</t>
  </si>
  <si>
    <t>FERC St Off TOA Capitaliz CA</t>
  </si>
  <si>
    <t>FERC St Off TOA Capitalization</t>
  </si>
  <si>
    <t>FERC St Off TOA Other CA</t>
  </si>
  <si>
    <t>FERC St Off TOA Software Other</t>
  </si>
  <si>
    <t>Vacation Pay Timing Differences</t>
  </si>
  <si>
    <t>Property Tax Timing Differences</t>
  </si>
  <si>
    <t>FERC Fed AFUDC Debt</t>
  </si>
  <si>
    <t>FERC Fed FAS34 Cap Int</t>
  </si>
  <si>
    <t>FERC Fed Sec 263a Cap Int</t>
  </si>
  <si>
    <t>FERC St Off AFUDC Debt</t>
  </si>
  <si>
    <t>FERC St Off FAS34 Cap Int</t>
  </si>
  <si>
    <t>FERC St Off Sec 263a Cap Int</t>
  </si>
  <si>
    <t xml:space="preserve">   Net Operating Loss Deferred Taxes</t>
  </si>
  <si>
    <t xml:space="preserve">   Net Operating Loss Deferred Taxes - 2018 True Up</t>
  </si>
  <si>
    <t>This Schedule 17-RegAssets-3 will reflect tax rate changes occuring after the TCJA.</t>
  </si>
  <si>
    <t>Relects the deferred tax liability (DTL) for the difference between book and tax depreciation methods and depreciable lives on plant capitalized for both book and tax.  Method life is a protected timing difference.</t>
  </si>
  <si>
    <t>Relects the deferred tax asset (DTA) difference between the book accrual and actual spending for cost of removal.</t>
  </si>
  <si>
    <r>
      <t xml:space="preserve">(Excess)/Deficient </t>
    </r>
    <r>
      <rPr>
        <b/>
        <sz val="9.35"/>
        <rFont val="Calibri"/>
        <family val="2"/>
      </rPr>
      <t>ADIT</t>
    </r>
  </si>
  <si>
    <r>
      <rPr>
        <b/>
        <sz val="11"/>
        <rFont val="Calibri"/>
        <family val="2"/>
      </rPr>
      <t>Note F</t>
    </r>
    <r>
      <rPr>
        <b/>
        <strike/>
        <sz val="11"/>
        <rFont val="Calibri"/>
        <family val="2"/>
      </rPr>
      <t xml:space="preserve"> 'ADIT</t>
    </r>
  </si>
  <si>
    <r>
      <t xml:space="preserve">@ </t>
    </r>
    <r>
      <rPr>
        <sz val="8.8000000000000007"/>
        <rFont val="Calibri"/>
        <family val="2"/>
      </rPr>
      <t>xx</t>
    </r>
    <r>
      <rPr>
        <sz val="11"/>
        <rFont val="Calibri"/>
        <family val="2"/>
        <scheme val="minor"/>
      </rPr>
      <t>% FIT</t>
    </r>
  </si>
  <si>
    <t>CMP30301</t>
  </si>
  <si>
    <t>MISCELLANEOUS INTANGIBLE PLANT</t>
  </si>
  <si>
    <t>CMP39001</t>
  </si>
  <si>
    <t>COMM PLANT: LEASEHOLD IMPR</t>
  </si>
  <si>
    <t>4) See CPUC Decision 20-12-005.  In the event the CPUC modifies these depreciation rates in the future, pursuant to the Protocols, PG&amp;E will make a single issue filing at FERC to modify these rates.</t>
  </si>
  <si>
    <t>3) The 'Amortization of Excess Deferred Tax Liability' amount was included in the TO19 Settlement filed on September 21, 2018 and approved by the Commission on December 20, 2018 in 165 FERC ¶ 61,244 (2018). The amount shown equals protected and unprotected amortization.  The unprotected amortization of (excess)/deficient deferred federal income tax may be reduced from $14.695 million to $2.064 million pursuant to Section 2.2.1.2 of the TO19 Settlement Agreement.</t>
  </si>
  <si>
    <t>Amortization of (Excess)/Deficient Deferred Federal and State Income Taxes</t>
  </si>
  <si>
    <t>17-RegAssets-3</t>
  </si>
  <si>
    <t>1) For a description of the adjustments included in Col 3 and a reconciliation by FERC account to PG&amp;E's FERC Form 1, please see WP_7-PlantInService 3.</t>
  </si>
  <si>
    <t>2) FERC sub-account 359.1 "Asset Retirement Costs for Transmission Plant" is not included in rate base for purposes of the TO rate case.</t>
  </si>
  <si>
    <t>PG&amp;E did not amortize any Electric Transmission abandoned plant projects in 2022.</t>
  </si>
  <si>
    <t>WP_7-PlantInService 7, L. 149, Col 10</t>
  </si>
  <si>
    <t>WP_7-PlantInService 7, L. 149, Col 8</t>
  </si>
  <si>
    <t>1) For High and Low Voltage Gross Plant Additions see WP_9-PlantAdditions 5, L. 149-172.</t>
  </si>
  <si>
    <t>4) Account 350.01 - Land is not depreciated in the TO rate case.</t>
  </si>
  <si>
    <t>5) ETP35002 - Land Rights is depreciated using the composite depreciation rate excluding net salvage for transmission plant. (see 12-DepRates, L. 110, col 10)</t>
  </si>
  <si>
    <t>3) Corporate Residual (Electric) CGI Plant is Plant in FERC Accounts 389-399 or 301-303 that serves PG&amp;E Electric Functional Areas only. For Prior Year amount, see WP_7-PlantInService 5, L. 122.</t>
  </si>
  <si>
    <t>2) Corporate Residual (Gas and Electric) CGI Plant is Plant in FERC Accounts 389-399 or 301-303 that serves all PG&amp;E Gas and Electric Functional Areas. For Prior Year amount, see WP_7-PlantInService 5, L. 122.</t>
  </si>
  <si>
    <t>1) Network Transmission Direct Assigned CGI Plant is Plant in FERC Accounts 389-399 or 301-303 that serves only Network Transmission. For Prior Year amounts by Functional Area, see WP_7-PlantInService 5, L. 122.</t>
  </si>
  <si>
    <t>1) Accumulated Depreciation for Direct Assigned CGI Plant is related to Plant in FERC Accounts 389-399 or 301-303 that serves only Network Transmission. For Prior Year amounts by Functional Area, see WP_10-AccDep 4, L. 122, cols 1 and 2.</t>
  </si>
  <si>
    <t>2) Accumulated Depreciation for Corporate Residual (Gas and Electric) CGI Plant is related to Plant in FERC Accounts 389-399 or 301-303 that serves all PG&amp;E Gas and Electric Functional Areas. For Prior Year amount, see WP_10-AccDep 4, L. 122, col 11.</t>
  </si>
  <si>
    <t>3) Accumulated Depreciation for Corporate Residual (Electric) CGI Plant is related to Plant in FERC Accounts 389-399 or 301-303 that serves PG&amp;E Electric Functional Area only. For Prior Year amount, see WP_10-AccDep 4, L. 122, col 12.</t>
  </si>
  <si>
    <t xml:space="preserve">Network Transmission High Voltage Functional Plant balances are extracted from PowerPlan, PG&amp;E's fixed asset system of record, by querying by Asset Class, FERC Account and UCC. The balances are then adjusted to include only the FERC Jurisdiction Transmission plant that is eligible </t>
  </si>
  <si>
    <t xml:space="preserve">Network Transmission Low Voltage Functional Plant balances are extracted from PowerPlan, PG&amp;E's fixed asset system of record, by querying by Asset Class, FERC Account and UCC. The balances are then adjusted to include only the FERC Jurisdiction Transmission plant that is eligible </t>
  </si>
  <si>
    <t>Direct Assigned Common, General and Intangible (CGI) Plant In Service balances are extracted from PowerPlan, PG&amp;E's fixed asset system of record, by querying by Asset Class, FERC Account and UCC.</t>
  </si>
  <si>
    <t>Corporate Services (Gas and Electric) Residual Common, General and Intangible (CGI) Plant is extracted from PowerPlan, PG&amp;E's fixed asset system of record, by querying by Asset Class, FERC Account and UCC.</t>
  </si>
  <si>
    <t>Accumulated Depreciation balances for Network Transmission High Voltage Functional Plant are extracted from PowerPlan, PG&amp;E's fixed asset system of record, by querying by Asset Class, FERC Account and UCC. The balances are then adjusted to include only the amounts related to</t>
  </si>
  <si>
    <t>Accumulated Depreciation balances for Network Transmission Low Voltage Functional Plant are extracted from PowerPlan, PG&amp;E's fixed asset system of record, by querying by Asset Class, FERC Account and UCC. The balances are then adjusted to include only the amounts related to</t>
  </si>
  <si>
    <t>Accumulated Depreciation balances for Direct Assigned CGI Plant are extracted from PowerPlan, PG&amp;E's fixed asset system of record, by querying by Asset Class, FERC Account and UCC.</t>
  </si>
  <si>
    <t xml:space="preserve">Accumulated Depreciation balances for Corporate Services (Gas and Electric) Residual CGI Plant are extracted from PowerPlan, PG&amp;E's fixed asset system of record, by querying by Asset Class, FERC Account and UCC. </t>
  </si>
  <si>
    <t xml:space="preserve">Accumulated Depreciation balances for Corporate Services (Electric) CGI Plant are extracted from PowerPlan, PG&amp;E's fixed asset system of record, by querying by Asset Class, FERC Account and UCC. </t>
  </si>
  <si>
    <t>1) Network Transmission Direct Assigned CGI Plant is Plant in FERC Accounts 389-399 or 301-303 that serves only Network Transmission. For Depreciation Expense amounts by Functional Area for Direct Assigned CGI Plant, see WP_11-Depreciation 3, L. 122, Cols 1 and 2.</t>
  </si>
  <si>
    <t>3) Corporate Residual (Electric) CGI Plant is Plant in FERC Accounts 389-399 or 301-303 that serves PG&amp;E Electric Functional Areas only. For Depreciation Expense for Corporate Residual (Electric) CGI Plant, see WP_11-Depreciation 3, L. 122, Col 12.</t>
  </si>
  <si>
    <t xml:space="preserve">Depreciation Expense for Direct Assigned CGI Plant is extracted from PowerPlan, PG&amp;E's fixed asset system of record, by querying by Asset Class. It is then allocated to UCC and Functional Areas based on Prior Year ending plant balances. </t>
  </si>
  <si>
    <t xml:space="preserve">Depreciation Expense for Corporate Services (Gas and Electric) Residual CGI Plant is extracted from PowerPlan, PG&amp;E's fixed asset system of record, by querying by Asset Class. It is then allocated to UCC and Functional Areas based on Prior Year ending plant balances. </t>
  </si>
  <si>
    <t xml:space="preserve">Depreciation Expense for Corporate Services (Electric) Residual CGI Plant is extracted from PowerPlan, PG&amp;E's fixed asset system of record, by querying by Asset Class. It is then allocated to UCC and Functional Areas based on Prior Year ending plant balances. </t>
  </si>
  <si>
    <t xml:space="preserve">Prior Year recorded Depreciation Expense is extracted from PowerPlan, PG&amp;E's fixed asset system of record, by querying by Asset Class. It is then allocated to UCC and Functional Areas based on Prior Year ending plant balances. </t>
  </si>
  <si>
    <t>No</t>
  </si>
  <si>
    <t>RY2022 TO Model, Schedule 1-BaseTRR, L. 602</t>
  </si>
  <si>
    <t>Yes</t>
  </si>
  <si>
    <t>3) All Accounts other than 565 are allocated using the Network Transmission % in Schedule 24-Allocators, L. 122. All expenses in Account 565 are related to transmission service on High Voltage transmission facilities and are, therefore, 100% network transmission</t>
  </si>
  <si>
    <t>Forecast Network Transmission Net Plant Additions are calculated using the forecast capital expenditures for Functional Plant major work categories for the two calendar years after the Prior Year.</t>
  </si>
  <si>
    <t>Incremental Reserve is the total of the calculated depreciation related to the Incremental Gross Plant less the forecast Cost of Removal spend.</t>
  </si>
  <si>
    <t>For the calculation of forecast Gross Plant Additions and Cost of Removal spend by planning order, see workpapers WP_9-PlantAdditions 1-4.</t>
  </si>
  <si>
    <t>2) For High and Low Voltage Gross Plant Cost of Removal spend see WP_9-PlantAdditions 6, L. 149-172.</t>
  </si>
  <si>
    <t>2) Corporate Residual (Gas and Electric) CGI Plant is Plant in FERC Accounts 389-399 or 301-303 that serves all PG&amp;E Gas and Electric Functional Areas. For Depreciation Expense for Corporate Residual (Gas and Electric) CGI Plant, see WP_11-Depreciation 3, L. 122, Col 11.</t>
  </si>
  <si>
    <t>WP_10-AccDep 6, L. 149, Col 8</t>
  </si>
  <si>
    <t>Environmental</t>
  </si>
  <si>
    <t>Compensation</t>
  </si>
  <si>
    <t>Vacation Timing Differences</t>
  </si>
  <si>
    <t>Contributions In Aid of Construction (CIAC)</t>
  </si>
  <si>
    <t>California Corporation Franchise Tax</t>
  </si>
  <si>
    <t>Net Operating Losses Deferred Taxes</t>
  </si>
  <si>
    <t>ITC FAS 109 Deferred Taxes</t>
  </si>
  <si>
    <t>Gas and Other Non-ISO Related Costs</t>
  </si>
  <si>
    <t>Relates to all Regulated Electric Property</t>
  </si>
  <si>
    <t>Property-Related FERC Costs</t>
  </si>
  <si>
    <t xml:space="preserve">Fully Normalized Deferred Tax </t>
  </si>
  <si>
    <t>Property/Non-ISO</t>
  </si>
  <si>
    <t xml:space="preserve">Common Plant </t>
  </si>
  <si>
    <t>Property-Related CPUC Costs</t>
  </si>
  <si>
    <t>Property-Related Costs</t>
  </si>
  <si>
    <t>Loss on Reaquired Debt</t>
  </si>
  <si>
    <t>Balancing Accounts</t>
  </si>
  <si>
    <t>Relates Entirely to CPUC Balancing Account Recovery</t>
  </si>
  <si>
    <t>Investment Tax Credits</t>
  </si>
  <si>
    <t>Investment Tax Credits - Common</t>
  </si>
  <si>
    <t>Investment Tax Credits -Other</t>
  </si>
  <si>
    <t>Adjustment for Repairs Off-System</t>
  </si>
  <si>
    <t>502a</t>
  </si>
  <si>
    <t>Property Tax - Correction of 2017 FERC Form 1 Error</t>
  </si>
  <si>
    <t>FERC Fed 2017 481a Adj</t>
  </si>
  <si>
    <t>FERC Fed 2017 481a Bon Add Back</t>
  </si>
  <si>
    <t>FERC Fed St Off 2017 481a Adj CA</t>
  </si>
  <si>
    <t>Transmission Plant Jurisdiction</t>
  </si>
  <si>
    <t>A</t>
  </si>
  <si>
    <t>B</t>
  </si>
  <si>
    <t>C</t>
  </si>
  <si>
    <t>D</t>
  </si>
  <si>
    <t>E</t>
  </si>
  <si>
    <t>G</t>
  </si>
  <si>
    <t>H</t>
  </si>
  <si>
    <t>I</t>
  </si>
  <si>
    <t>Prior Year:  2022</t>
  </si>
  <si>
    <t xml:space="preserve">The adjustments shown in the Table above are from WP_19-AandG.  Sources of adjustments are individual SAP reports by FERC account with detailed descriptions of activity and accounting information.  </t>
  </si>
  <si>
    <t>FERC Forms 1 balances in accounts 928, 929 and 931 are zero; therefore, these accounts are not shown on WP_19-AandG.</t>
  </si>
  <si>
    <t>Remove Officer STIP and STIP for one Director.</t>
  </si>
  <si>
    <t>Remove Officer compensation pursuant to CPUC Resolution E-4963 (Dec. 14, 2018).</t>
  </si>
  <si>
    <t>Adjust funded plans for PBOPs medical and life, LTD and pension from an accrual to cash basis to the cash contributions to the trust.</t>
  </si>
  <si>
    <t>Remove costs PG&amp;E does not seek to recover in TO, such as Intervenor Compensation, MCI Exchange Rights, a portion of Injuries and Damages,  and Nuclear Property and Nuclear Liability Liability Insurance.</t>
  </si>
  <si>
    <t>Remove Non A&amp;G Costs and other costs, for example Gas LOB costs erroneously recorded in A&amp;G FERC Accounts, Franchise Fee Expense that is a caclulation within the Model and amounts recovered separately through CPUC proceedings and balancing/memorandum accounts.</t>
  </si>
  <si>
    <t>Remove labor and benefits associated with NP&amp;S activities.</t>
  </si>
  <si>
    <t>Remove capital and below-the-line adjustments as appropriate associated with regulatory adjustments described in Notes 3 through 8.</t>
  </si>
  <si>
    <t>Network Transmission Plant Allocation Factor as a percent of Total Electric Plant:</t>
  </si>
  <si>
    <t>24-Allocators, L. 119</t>
  </si>
  <si>
    <t>24-Allocators, L. 136</t>
  </si>
  <si>
    <t>Present</t>
  </si>
  <si>
    <t>WP-NPandS_RY2024 2, Line 100, col 1</t>
  </si>
  <si>
    <t>WP-NPandS_RY2024 2, Line 100, col 2</t>
  </si>
  <si>
    <t>SBA Amortization</t>
  </si>
  <si>
    <t>WP_1-BaseTRR_Pyrl_Tax 2, L. 106</t>
  </si>
  <si>
    <t>Electric Factor using the combined O&amp;M Labor and Plant Factor:</t>
  </si>
  <si>
    <t>General Liability Insurance and Injuries and Damages:</t>
  </si>
  <si>
    <t>FF1 262-263, L. 10, col l</t>
  </si>
  <si>
    <t>FF1 262-263, L. 8, col l</t>
  </si>
  <si>
    <t>FF1 262-263, L. 2, col l</t>
  </si>
  <si>
    <t>FF1 262-263, L. 1, col l</t>
  </si>
  <si>
    <t>Portion of FF1, 262-263, L. 11, col l Total</t>
  </si>
  <si>
    <t>Total Sales: FF1 300-301, L. 10, col b</t>
  </si>
  <si>
    <r>
      <t xml:space="preserve">FF1 </t>
    </r>
    <r>
      <rPr>
        <sz val="11"/>
        <color rgb="FFFF0000"/>
        <rFont val="Calibri"/>
        <family val="2"/>
      </rPr>
      <t>320-</t>
    </r>
    <r>
      <rPr>
        <sz val="11"/>
        <rFont val="Calibri"/>
        <family val="2"/>
        <scheme val="minor"/>
      </rPr>
      <t>323, L. 181, col b</t>
    </r>
  </si>
  <si>
    <r>
      <t xml:space="preserve">FF1 </t>
    </r>
    <r>
      <rPr>
        <sz val="11"/>
        <color rgb="FFFF0000"/>
        <rFont val="Calibri"/>
        <family val="2"/>
      </rPr>
      <t>320-</t>
    </r>
    <r>
      <rPr>
        <sz val="11"/>
        <rFont val="Calibri"/>
        <family val="2"/>
        <scheme val="minor"/>
      </rPr>
      <t>323, L. 182, col b</t>
    </r>
  </si>
  <si>
    <r>
      <t xml:space="preserve">FF1 </t>
    </r>
    <r>
      <rPr>
        <sz val="11"/>
        <color rgb="FFFF0000"/>
        <rFont val="Calibri"/>
        <family val="2"/>
      </rPr>
      <t>320-</t>
    </r>
    <r>
      <rPr>
        <sz val="11"/>
        <rFont val="Calibri"/>
        <family val="2"/>
        <scheme val="minor"/>
      </rPr>
      <t>323, L. 183, col b</t>
    </r>
  </si>
  <si>
    <r>
      <t xml:space="preserve">FF1 </t>
    </r>
    <r>
      <rPr>
        <sz val="11"/>
        <color rgb="FFFF0000"/>
        <rFont val="Calibri"/>
        <family val="2"/>
      </rPr>
      <t>320-</t>
    </r>
    <r>
      <rPr>
        <sz val="11"/>
        <rFont val="Calibri"/>
        <family val="2"/>
        <scheme val="minor"/>
      </rPr>
      <t>323, L. 184, col b</t>
    </r>
  </si>
  <si>
    <r>
      <t xml:space="preserve">FF1 </t>
    </r>
    <r>
      <rPr>
        <sz val="11"/>
        <color rgb="FFFF0000"/>
        <rFont val="Calibri"/>
        <family val="2"/>
      </rPr>
      <t>320-</t>
    </r>
    <r>
      <rPr>
        <sz val="11"/>
        <rFont val="Calibri"/>
        <family val="2"/>
        <scheme val="minor"/>
      </rPr>
      <t>323, L. 185, col b</t>
    </r>
  </si>
  <si>
    <r>
      <t xml:space="preserve">FF1 </t>
    </r>
    <r>
      <rPr>
        <sz val="11"/>
        <color rgb="FFFF0000"/>
        <rFont val="Calibri"/>
        <family val="2"/>
      </rPr>
      <t>320-</t>
    </r>
    <r>
      <rPr>
        <sz val="11"/>
        <rFont val="Calibri"/>
        <family val="2"/>
        <scheme val="minor"/>
      </rPr>
      <t>323, L. 186, col b</t>
    </r>
  </si>
  <si>
    <r>
      <t xml:space="preserve">FF1 </t>
    </r>
    <r>
      <rPr>
        <sz val="11"/>
        <color rgb="FFFF0000"/>
        <rFont val="Calibri"/>
        <family val="2"/>
      </rPr>
      <t>320-</t>
    </r>
    <r>
      <rPr>
        <sz val="11"/>
        <rFont val="Calibri"/>
        <family val="2"/>
        <scheme val="minor"/>
      </rPr>
      <t>323, L. 187, col b</t>
    </r>
  </si>
  <si>
    <r>
      <t xml:space="preserve">FF1 </t>
    </r>
    <r>
      <rPr>
        <sz val="11"/>
        <color rgb="FFFF0000"/>
        <rFont val="Calibri"/>
        <family val="2"/>
      </rPr>
      <t>320-</t>
    </r>
    <r>
      <rPr>
        <sz val="11"/>
        <rFont val="Calibri"/>
        <family val="2"/>
        <scheme val="minor"/>
      </rPr>
      <t>323, L. 188, col b</t>
    </r>
  </si>
  <si>
    <r>
      <t xml:space="preserve">FF1 </t>
    </r>
    <r>
      <rPr>
        <sz val="11"/>
        <color rgb="FFFF0000"/>
        <rFont val="Calibri"/>
        <family val="2"/>
      </rPr>
      <t>320-</t>
    </r>
    <r>
      <rPr>
        <sz val="11"/>
        <rFont val="Calibri"/>
        <family val="2"/>
        <scheme val="minor"/>
      </rPr>
      <t>323, L. 189, col b</t>
    </r>
  </si>
  <si>
    <r>
      <t xml:space="preserve">FF1 </t>
    </r>
    <r>
      <rPr>
        <sz val="11"/>
        <color rgb="FFFF0000"/>
        <rFont val="Calibri"/>
        <family val="2"/>
      </rPr>
      <t>320-</t>
    </r>
    <r>
      <rPr>
        <sz val="11"/>
        <rFont val="Calibri"/>
        <family val="2"/>
        <scheme val="minor"/>
      </rPr>
      <t>323, L. 190, col b</t>
    </r>
  </si>
  <si>
    <r>
      <t xml:space="preserve">FF1 </t>
    </r>
    <r>
      <rPr>
        <sz val="11"/>
        <color rgb="FFFF0000"/>
        <rFont val="Calibri"/>
        <family val="2"/>
      </rPr>
      <t>320-</t>
    </r>
    <r>
      <rPr>
        <sz val="11"/>
        <rFont val="Calibri"/>
        <family val="2"/>
        <scheme val="minor"/>
      </rPr>
      <t>323, L. 191, col b</t>
    </r>
  </si>
  <si>
    <r>
      <t xml:space="preserve">FF1 </t>
    </r>
    <r>
      <rPr>
        <sz val="11"/>
        <color rgb="FFFF0000"/>
        <rFont val="Calibri"/>
        <family val="2"/>
      </rPr>
      <t>320-</t>
    </r>
    <r>
      <rPr>
        <sz val="11"/>
        <rFont val="Calibri"/>
        <family val="2"/>
        <scheme val="minor"/>
      </rPr>
      <t>323, L. 192, col b</t>
    </r>
  </si>
  <si>
    <r>
      <t xml:space="preserve">FF1 </t>
    </r>
    <r>
      <rPr>
        <sz val="11"/>
        <color rgb="FFFF0000"/>
        <rFont val="Calibri"/>
        <family val="2"/>
      </rPr>
      <t>320-</t>
    </r>
    <r>
      <rPr>
        <sz val="11"/>
        <rFont val="Calibri"/>
        <family val="2"/>
        <scheme val="minor"/>
      </rPr>
      <t>323, L. 193, col b</t>
    </r>
  </si>
  <si>
    <r>
      <t xml:space="preserve">FF1 </t>
    </r>
    <r>
      <rPr>
        <sz val="11"/>
        <color rgb="FFFF0000"/>
        <rFont val="Calibri"/>
        <family val="2"/>
      </rPr>
      <t>320-</t>
    </r>
    <r>
      <rPr>
        <sz val="11"/>
        <rFont val="Calibri"/>
        <family val="2"/>
        <scheme val="minor"/>
      </rPr>
      <t>323, L. 196, col b</t>
    </r>
  </si>
  <si>
    <r>
      <t xml:space="preserve">FF1 </t>
    </r>
    <r>
      <rPr>
        <sz val="11"/>
        <color rgb="FFFF0000"/>
        <rFont val="Calibri"/>
        <family val="2"/>
      </rPr>
      <t>320-</t>
    </r>
    <r>
      <rPr>
        <sz val="11"/>
        <rFont val="Calibri"/>
        <family val="2"/>
        <scheme val="minor"/>
      </rPr>
      <t>323, L. 197, col b</t>
    </r>
  </si>
  <si>
    <t>A1/B1-</t>
  </si>
  <si>
    <t>A10/B10-</t>
  </si>
  <si>
    <t>E19/B19-</t>
  </si>
  <si>
    <t>AGB/C-</t>
  </si>
  <si>
    <t>E20/B20-</t>
  </si>
  <si>
    <t>Schedule E-20/B-20</t>
  </si>
  <si>
    <t>STB/SB-</t>
  </si>
  <si>
    <r>
      <t xml:space="preserve">FF1 </t>
    </r>
    <r>
      <rPr>
        <sz val="11"/>
        <rFont val="Calibri"/>
        <family val="2"/>
      </rPr>
      <t>204-</t>
    </r>
    <r>
      <rPr>
        <sz val="11"/>
        <rFont val="Calibri"/>
        <family val="2"/>
        <scheme val="minor"/>
      </rPr>
      <t xml:space="preserve">207, L. 48, col g </t>
    </r>
  </si>
  <si>
    <r>
      <t xml:space="preserve">FF1 </t>
    </r>
    <r>
      <rPr>
        <sz val="11"/>
        <rFont val="Calibri"/>
        <family val="2"/>
      </rPr>
      <t>204-</t>
    </r>
    <r>
      <rPr>
        <sz val="11"/>
        <rFont val="Calibri"/>
        <family val="2"/>
        <scheme val="minor"/>
      </rPr>
      <t xml:space="preserve">207, L. 49, col g </t>
    </r>
  </si>
  <si>
    <r>
      <t xml:space="preserve">FF1 </t>
    </r>
    <r>
      <rPr>
        <sz val="11"/>
        <rFont val="Calibri"/>
        <family val="2"/>
      </rPr>
      <t>204-</t>
    </r>
    <r>
      <rPr>
        <sz val="11"/>
        <rFont val="Calibri"/>
        <family val="2"/>
        <scheme val="minor"/>
      </rPr>
      <t xml:space="preserve">207, L. 50, col g </t>
    </r>
  </si>
  <si>
    <r>
      <t xml:space="preserve">FF1 </t>
    </r>
    <r>
      <rPr>
        <sz val="11"/>
        <rFont val="Calibri"/>
        <family val="2"/>
      </rPr>
      <t>204-</t>
    </r>
    <r>
      <rPr>
        <sz val="11"/>
        <rFont val="Calibri"/>
        <family val="2"/>
        <scheme val="minor"/>
      </rPr>
      <t xml:space="preserve">207, L. 51, col g </t>
    </r>
  </si>
  <si>
    <r>
      <t xml:space="preserve">FF1 </t>
    </r>
    <r>
      <rPr>
        <sz val="11"/>
        <rFont val="Calibri"/>
        <family val="2"/>
      </rPr>
      <t>204-</t>
    </r>
    <r>
      <rPr>
        <sz val="11"/>
        <rFont val="Calibri"/>
        <family val="2"/>
        <scheme val="minor"/>
      </rPr>
      <t xml:space="preserve">207, L. 52, col g </t>
    </r>
  </si>
  <si>
    <r>
      <t xml:space="preserve">FF1 </t>
    </r>
    <r>
      <rPr>
        <sz val="11"/>
        <rFont val="Calibri"/>
        <family val="2"/>
      </rPr>
      <t>204-</t>
    </r>
    <r>
      <rPr>
        <sz val="11"/>
        <rFont val="Calibri"/>
        <family val="2"/>
        <scheme val="minor"/>
      </rPr>
      <t xml:space="preserve">207, L. 53, col g </t>
    </r>
  </si>
  <si>
    <r>
      <t xml:space="preserve">FF1 </t>
    </r>
    <r>
      <rPr>
        <sz val="11"/>
        <rFont val="Calibri"/>
        <family val="2"/>
      </rPr>
      <t>204-</t>
    </r>
    <r>
      <rPr>
        <sz val="11"/>
        <rFont val="Calibri"/>
        <family val="2"/>
        <scheme val="minor"/>
      </rPr>
      <t xml:space="preserve">207, L. 54, col g </t>
    </r>
  </si>
  <si>
    <r>
      <t xml:space="preserve">FF1 </t>
    </r>
    <r>
      <rPr>
        <sz val="11"/>
        <rFont val="Calibri"/>
        <family val="2"/>
      </rPr>
      <t>204-</t>
    </r>
    <r>
      <rPr>
        <sz val="11"/>
        <rFont val="Calibri"/>
        <family val="2"/>
        <scheme val="minor"/>
      </rPr>
      <t xml:space="preserve">207, L. 55, col g </t>
    </r>
  </si>
  <si>
    <r>
      <t xml:space="preserve">FF1 </t>
    </r>
    <r>
      <rPr>
        <sz val="11"/>
        <rFont val="Calibri"/>
        <family val="2"/>
      </rPr>
      <t>204-</t>
    </r>
    <r>
      <rPr>
        <sz val="11"/>
        <rFont val="Calibri"/>
        <family val="2"/>
        <scheme val="minor"/>
      </rPr>
      <t xml:space="preserve">207, L. 56, col g </t>
    </r>
  </si>
  <si>
    <r>
      <t xml:space="preserve">FF1 </t>
    </r>
    <r>
      <rPr>
        <sz val="11"/>
        <rFont val="Calibri"/>
        <family val="2"/>
      </rPr>
      <t>204-</t>
    </r>
    <r>
      <rPr>
        <sz val="11"/>
        <rFont val="Calibri"/>
        <family val="2"/>
        <scheme val="minor"/>
      </rPr>
      <t xml:space="preserve">207, L. 57, col g </t>
    </r>
  </si>
  <si>
    <r>
      <t>FF1</t>
    </r>
    <r>
      <rPr>
        <sz val="11"/>
        <rFont val="Calibri"/>
        <family val="2"/>
      </rPr>
      <t xml:space="preserve"> 274-</t>
    </r>
    <r>
      <rPr>
        <sz val="11"/>
        <rFont val="Calibri"/>
        <family val="2"/>
        <scheme val="minor"/>
      </rPr>
      <t>275, L. 9, col k</t>
    </r>
  </si>
  <si>
    <r>
      <t xml:space="preserve">FF1 </t>
    </r>
    <r>
      <rPr>
        <sz val="11"/>
        <rFont val="Calibri"/>
        <family val="2"/>
      </rPr>
      <t>276-</t>
    </r>
    <r>
      <rPr>
        <sz val="11"/>
        <rFont val="Calibri"/>
        <family val="2"/>
        <scheme val="minor"/>
      </rPr>
      <t>277, L. 3 + L. 11, col k</t>
    </r>
  </si>
  <si>
    <r>
      <t xml:space="preserve">FF1 </t>
    </r>
    <r>
      <rPr>
        <sz val="11"/>
        <rFont val="Calibri"/>
        <family val="2"/>
      </rPr>
      <t>276-</t>
    </r>
    <r>
      <rPr>
        <sz val="11"/>
        <rFont val="Calibri"/>
        <family val="2"/>
        <scheme val="minor"/>
      </rPr>
      <t>277, L. 4 + L. 12, col k</t>
    </r>
  </si>
  <si>
    <r>
      <t xml:space="preserve">FF1 </t>
    </r>
    <r>
      <rPr>
        <sz val="11"/>
        <rFont val="Calibri"/>
        <family val="2"/>
      </rPr>
      <t>276-</t>
    </r>
    <r>
      <rPr>
        <sz val="11"/>
        <rFont val="Calibri"/>
        <family val="2"/>
        <scheme val="minor"/>
      </rPr>
      <t>277, L. 5 + L. 14 + L.18, col k</t>
    </r>
  </si>
  <si>
    <r>
      <t xml:space="preserve">FF1 </t>
    </r>
    <r>
      <rPr>
        <sz val="11"/>
        <rFont val="Calibri"/>
        <family val="2"/>
      </rPr>
      <t>276-</t>
    </r>
    <r>
      <rPr>
        <sz val="11"/>
        <rFont val="Calibri"/>
        <family val="2"/>
        <scheme val="minor"/>
      </rPr>
      <t>277, L. 19, col k</t>
    </r>
  </si>
  <si>
    <r>
      <t xml:space="preserve">FF1 </t>
    </r>
    <r>
      <rPr>
        <sz val="11"/>
        <rFont val="Calibri"/>
        <family val="2"/>
      </rPr>
      <t>266-</t>
    </r>
    <r>
      <rPr>
        <sz val="11"/>
        <rFont val="Calibri"/>
        <family val="2"/>
        <scheme val="minor"/>
      </rPr>
      <t>267, L. 8 + L. 12, col h</t>
    </r>
  </si>
  <si>
    <r>
      <t xml:space="preserve">FF1 </t>
    </r>
    <r>
      <rPr>
        <sz val="11"/>
        <rFont val="Calibri"/>
        <family val="2"/>
      </rPr>
      <t>112-</t>
    </r>
    <r>
      <rPr>
        <sz val="11"/>
        <rFont val="Calibri"/>
        <family val="2"/>
        <scheme val="minor"/>
      </rPr>
      <t>113, L. 56, col d</t>
    </r>
  </si>
  <si>
    <r>
      <t xml:space="preserve">FF1 </t>
    </r>
    <r>
      <rPr>
        <sz val="11"/>
        <rFont val="Calibri"/>
        <family val="2"/>
      </rPr>
      <t>112-</t>
    </r>
    <r>
      <rPr>
        <sz val="11"/>
        <rFont val="Calibri"/>
        <family val="2"/>
        <scheme val="minor"/>
      </rPr>
      <t>113, L. 56, col c</t>
    </r>
  </si>
  <si>
    <r>
      <t xml:space="preserve">FF1 </t>
    </r>
    <r>
      <rPr>
        <sz val="11"/>
        <rFont val="Calibri"/>
        <family val="2"/>
      </rPr>
      <t>114-</t>
    </r>
    <r>
      <rPr>
        <sz val="11"/>
        <rFont val="Calibri"/>
        <family val="2"/>
        <scheme val="minor"/>
      </rPr>
      <t>117, L. 68, col c</t>
    </r>
  </si>
  <si>
    <r>
      <t>17-RegAssets-2</t>
    </r>
    <r>
      <rPr>
        <sz val="9.35"/>
        <rFont val="Calibri"/>
        <family val="2"/>
      </rPr>
      <t>, L. 110, Col 17</t>
    </r>
    <r>
      <rPr>
        <sz val="11"/>
        <rFont val="Calibri"/>
        <family val="2"/>
        <scheme val="minor"/>
      </rPr>
      <t xml:space="preserve"> + 17-RegAssets-3, L. 110, Col 17 (zero in 2017 only)</t>
    </r>
  </si>
  <si>
    <r>
      <t xml:space="preserve">17-RegAssets-2, </t>
    </r>
    <r>
      <rPr>
        <sz val="9.35"/>
        <rFont val="Calibri"/>
        <family val="2"/>
      </rPr>
      <t>L. 110, Col 24</t>
    </r>
    <r>
      <rPr>
        <sz val="11"/>
        <rFont val="Calibri"/>
        <family val="2"/>
        <scheme val="minor"/>
      </rPr>
      <t xml:space="preserve"> + 17-RegAssets-3, L. 110, Col 24</t>
    </r>
  </si>
  <si>
    <r>
      <t>FF1 300</t>
    </r>
    <r>
      <rPr>
        <b/>
        <sz val="11"/>
        <rFont val="Calibri"/>
        <family val="2"/>
      </rPr>
      <t>-301</t>
    </r>
    <r>
      <rPr>
        <b/>
        <sz val="11"/>
        <rFont val="Calibri"/>
        <family val="2"/>
        <scheme val="minor"/>
      </rPr>
      <t>, L. 16, col b</t>
    </r>
  </si>
  <si>
    <r>
      <t>FF1 300</t>
    </r>
    <r>
      <rPr>
        <b/>
        <sz val="11"/>
        <rFont val="Calibri"/>
        <family val="2"/>
      </rPr>
      <t>-301</t>
    </r>
    <r>
      <rPr>
        <b/>
        <sz val="11"/>
        <rFont val="Calibri"/>
        <family val="2"/>
        <scheme val="minor"/>
      </rPr>
      <t>, L. 17, col b</t>
    </r>
  </si>
  <si>
    <r>
      <t>FF1 300</t>
    </r>
    <r>
      <rPr>
        <b/>
        <sz val="11"/>
        <rFont val="Calibri"/>
        <family val="2"/>
      </rPr>
      <t>-301</t>
    </r>
    <r>
      <rPr>
        <b/>
        <sz val="11"/>
        <rFont val="Calibri"/>
        <family val="2"/>
        <scheme val="minor"/>
      </rPr>
      <t>, L. 18, col b</t>
    </r>
  </si>
  <si>
    <r>
      <t>FF1 300</t>
    </r>
    <r>
      <rPr>
        <b/>
        <sz val="11"/>
        <rFont val="Calibri"/>
        <family val="2"/>
      </rPr>
      <t>-301</t>
    </r>
    <r>
      <rPr>
        <b/>
        <sz val="11"/>
        <rFont val="Calibri"/>
        <family val="2"/>
        <scheme val="minor"/>
      </rPr>
      <t>, L.19, col b</t>
    </r>
  </si>
  <si>
    <r>
      <t>FF1 300</t>
    </r>
    <r>
      <rPr>
        <b/>
        <sz val="11"/>
        <rFont val="Calibri"/>
        <family val="2"/>
      </rPr>
      <t>-301</t>
    </r>
    <r>
      <rPr>
        <b/>
        <sz val="11"/>
        <rFont val="Calibri"/>
        <family val="2"/>
        <scheme val="minor"/>
      </rPr>
      <t>, L. 21-22, col b</t>
    </r>
  </si>
  <si>
    <r>
      <t xml:space="preserve">FF1 </t>
    </r>
    <r>
      <rPr>
        <sz val="11"/>
        <rFont val="Calibri"/>
        <family val="2"/>
      </rPr>
      <t>354-</t>
    </r>
    <r>
      <rPr>
        <sz val="11"/>
        <rFont val="Calibri"/>
        <family val="2"/>
        <scheme val="minor"/>
      </rPr>
      <t>355, L. 65, col b</t>
    </r>
  </si>
  <si>
    <r>
      <t>FF1 354</t>
    </r>
    <r>
      <rPr>
        <sz val="11"/>
        <rFont val="Calibri"/>
        <family val="2"/>
      </rPr>
      <t>-355</t>
    </r>
    <r>
      <rPr>
        <sz val="11"/>
        <rFont val="Calibri"/>
        <family val="2"/>
        <scheme val="minor"/>
      </rPr>
      <t>, L. 27, col b</t>
    </r>
  </si>
  <si>
    <r>
      <t xml:space="preserve">FF1 </t>
    </r>
    <r>
      <rPr>
        <sz val="11"/>
        <rFont val="Calibri"/>
        <family val="2"/>
      </rPr>
      <t>354-</t>
    </r>
    <r>
      <rPr>
        <sz val="11"/>
        <rFont val="Calibri"/>
        <family val="2"/>
        <scheme val="minor"/>
      </rPr>
      <t>355, L. 61, col b</t>
    </r>
  </si>
  <si>
    <r>
      <t>FF1 354</t>
    </r>
    <r>
      <rPr>
        <sz val="11"/>
        <rFont val="Calibri"/>
        <family val="2"/>
      </rPr>
      <t>-355</t>
    </r>
    <r>
      <rPr>
        <sz val="11"/>
        <rFont val="Calibri"/>
        <family val="2"/>
        <scheme val="minor"/>
      </rPr>
      <t>, L. 28, col b</t>
    </r>
  </si>
  <si>
    <t>ER23-2968-000</t>
  </si>
  <si>
    <r>
      <t>FF1 250</t>
    </r>
    <r>
      <rPr>
        <b/>
        <sz val="11"/>
        <rFont val="Calibri"/>
        <family val="2"/>
      </rPr>
      <t>-251</t>
    </r>
    <r>
      <rPr>
        <b/>
        <sz val="11"/>
        <rFont val="Calibri"/>
        <family val="2"/>
        <scheme val="minor"/>
      </rPr>
      <t>, col a</t>
    </r>
  </si>
  <si>
    <r>
      <t xml:space="preserve">FF1 </t>
    </r>
    <r>
      <rPr>
        <b/>
        <sz val="11"/>
        <rFont val="Calibri"/>
        <family val="2"/>
      </rPr>
      <t>250-</t>
    </r>
    <r>
      <rPr>
        <b/>
        <sz val="11"/>
        <rFont val="Calibri"/>
        <family val="2"/>
        <scheme val="minor"/>
      </rPr>
      <t>251, col f</t>
    </r>
  </si>
  <si>
    <r>
      <t xml:space="preserve">FF1 </t>
    </r>
    <r>
      <rPr>
        <b/>
        <sz val="11"/>
        <rFont val="Calibri"/>
        <family val="2"/>
      </rPr>
      <t>250-</t>
    </r>
    <r>
      <rPr>
        <b/>
        <sz val="11"/>
        <rFont val="Calibri"/>
        <family val="2"/>
        <scheme val="minor"/>
      </rPr>
      <t>251, col e</t>
    </r>
  </si>
  <si>
    <r>
      <t xml:space="preserve">= Col </t>
    </r>
    <r>
      <rPr>
        <b/>
        <sz val="11"/>
        <rFont val="Calibri"/>
        <family val="2"/>
      </rPr>
      <t>4</t>
    </r>
    <r>
      <rPr>
        <b/>
        <sz val="11"/>
        <rFont val="Calibri"/>
        <family val="2"/>
        <scheme val="minor"/>
      </rPr>
      <t xml:space="preserve"> x Col 7</t>
    </r>
  </si>
  <si>
    <r>
      <t>FF1 112</t>
    </r>
    <r>
      <rPr>
        <sz val="9.9"/>
        <rFont val="Calibri"/>
        <family val="2"/>
      </rPr>
      <t>-113</t>
    </r>
    <r>
      <rPr>
        <sz val="11"/>
        <rFont val="Calibri"/>
        <family val="2"/>
        <scheme val="minor"/>
      </rPr>
      <t>, L. 18, col c</t>
    </r>
  </si>
  <si>
    <r>
      <t>FF1 112</t>
    </r>
    <r>
      <rPr>
        <sz val="9.9"/>
        <rFont val="Calibri"/>
        <family val="2"/>
      </rPr>
      <t>-113</t>
    </r>
    <r>
      <rPr>
        <sz val="11"/>
        <rFont val="Calibri"/>
        <family val="2"/>
        <scheme val="minor"/>
      </rPr>
      <t>, L. 19, col c</t>
    </r>
  </si>
  <si>
    <r>
      <t>FF1 112</t>
    </r>
    <r>
      <rPr>
        <sz val="9.9"/>
        <rFont val="Calibri"/>
        <family val="2"/>
      </rPr>
      <t>-113</t>
    </r>
    <r>
      <rPr>
        <sz val="11"/>
        <rFont val="Calibri"/>
        <family val="2"/>
        <scheme val="minor"/>
      </rPr>
      <t>, L. 21, col c</t>
    </r>
  </si>
  <si>
    <r>
      <t>FF1 112</t>
    </r>
    <r>
      <rPr>
        <sz val="9.9"/>
        <rFont val="Calibri"/>
        <family val="2"/>
      </rPr>
      <t>-113</t>
    </r>
    <r>
      <rPr>
        <sz val="11"/>
        <rFont val="Calibri"/>
        <family val="2"/>
        <scheme val="minor"/>
      </rPr>
      <t>, L. 22, col c</t>
    </r>
  </si>
  <si>
    <r>
      <t>FF1 112</t>
    </r>
    <r>
      <rPr>
        <sz val="9.9"/>
        <rFont val="Calibri"/>
        <family val="2"/>
      </rPr>
      <t>-113</t>
    </r>
    <r>
      <rPr>
        <sz val="11"/>
        <rFont val="Calibri"/>
        <family val="2"/>
        <scheme val="minor"/>
      </rPr>
      <t>, L. 23, col c</t>
    </r>
  </si>
  <si>
    <r>
      <t xml:space="preserve">FF1 </t>
    </r>
    <r>
      <rPr>
        <sz val="9.9"/>
        <rFont val="Calibri"/>
        <family val="2"/>
      </rPr>
      <t>110-</t>
    </r>
    <r>
      <rPr>
        <sz val="11"/>
        <rFont val="Calibri"/>
        <family val="2"/>
        <scheme val="minor"/>
      </rPr>
      <t>111, L. 69, col c</t>
    </r>
  </si>
  <si>
    <r>
      <t xml:space="preserve">FF1 </t>
    </r>
    <r>
      <rPr>
        <sz val="9.9"/>
        <rFont val="Calibri"/>
        <family val="2"/>
      </rPr>
      <t>110-</t>
    </r>
    <r>
      <rPr>
        <sz val="11"/>
        <rFont val="Calibri"/>
        <family val="2"/>
        <scheme val="minor"/>
      </rPr>
      <t>111, L. 81, col c</t>
    </r>
  </si>
  <si>
    <r>
      <t xml:space="preserve">FF1 </t>
    </r>
    <r>
      <rPr>
        <sz val="9.9"/>
        <rFont val="Calibri"/>
        <family val="2"/>
      </rPr>
      <t>114-</t>
    </r>
    <r>
      <rPr>
        <sz val="11"/>
        <rFont val="Calibri"/>
        <family val="2"/>
        <scheme val="minor"/>
      </rPr>
      <t>117, L. 62, col c</t>
    </r>
  </si>
  <si>
    <r>
      <t xml:space="preserve">FF1 </t>
    </r>
    <r>
      <rPr>
        <sz val="9.9"/>
        <rFont val="Calibri"/>
        <family val="2"/>
      </rPr>
      <t>114-</t>
    </r>
    <r>
      <rPr>
        <sz val="11"/>
        <rFont val="Calibri"/>
        <family val="2"/>
        <scheme val="minor"/>
      </rPr>
      <t>117, L. 63, col c</t>
    </r>
  </si>
  <si>
    <r>
      <t xml:space="preserve">FF1 </t>
    </r>
    <r>
      <rPr>
        <sz val="9.9"/>
        <rFont val="Calibri"/>
        <family val="2"/>
      </rPr>
      <t>114-</t>
    </r>
    <r>
      <rPr>
        <sz val="11"/>
        <rFont val="Calibri"/>
        <family val="2"/>
        <scheme val="minor"/>
      </rPr>
      <t>117, L. 64, col c</t>
    </r>
  </si>
  <si>
    <r>
      <t xml:space="preserve">FF1 </t>
    </r>
    <r>
      <rPr>
        <sz val="9.9"/>
        <rFont val="Calibri"/>
        <family val="2"/>
      </rPr>
      <t>114-</t>
    </r>
    <r>
      <rPr>
        <sz val="11"/>
        <rFont val="Calibri"/>
        <family val="2"/>
        <scheme val="minor"/>
      </rPr>
      <t>117, L. 65, col c</t>
    </r>
  </si>
  <si>
    <r>
      <t xml:space="preserve">FF1 </t>
    </r>
    <r>
      <rPr>
        <sz val="9.9"/>
        <rFont val="Calibri"/>
        <family val="2"/>
      </rPr>
      <t>114-</t>
    </r>
    <r>
      <rPr>
        <sz val="11"/>
        <rFont val="Calibri"/>
        <family val="2"/>
        <scheme val="minor"/>
      </rPr>
      <t>117, L. 66, col c</t>
    </r>
  </si>
  <si>
    <r>
      <t>1) Amount in Column 2 from FF1 112</t>
    </r>
    <r>
      <rPr>
        <sz val="11"/>
        <rFont val="Calibri"/>
        <family val="2"/>
      </rPr>
      <t>-113</t>
    </r>
    <r>
      <rPr>
        <sz val="11"/>
        <rFont val="Calibri"/>
        <family val="2"/>
        <scheme val="minor"/>
      </rPr>
      <t>, L. 18, col d, amount in Column 14 from FF1 112-113, L. 18, col c, amounts in columns 3-13 from PG&amp;E internal records (G/L account Cumulative Balance by period for SAP account 9221000, Company Code PGE1)</t>
    </r>
  </si>
  <si>
    <r>
      <t>2) Amount in Column 2 from FF1 112</t>
    </r>
    <r>
      <rPr>
        <sz val="11"/>
        <rFont val="Calibri"/>
        <family val="2"/>
      </rPr>
      <t>-113</t>
    </r>
    <r>
      <rPr>
        <sz val="11"/>
        <rFont val="Calibri"/>
        <family val="2"/>
        <scheme val="minor"/>
      </rPr>
      <t>, L. 19, col d, amount in Column 14 from FF1 112-113, L. 19, col c, amounts in columns 3-13 from PG&amp;E internal records (G/L account Cumulative Balance by period for SAP account 9222000, Company Code PGE1)</t>
    </r>
  </si>
  <si>
    <r>
      <t>3) Amount in Column 2 from FF1 112</t>
    </r>
    <r>
      <rPr>
        <sz val="11"/>
        <rFont val="Calibri"/>
        <family val="2"/>
      </rPr>
      <t>-113</t>
    </r>
    <r>
      <rPr>
        <sz val="11"/>
        <rFont val="Calibri"/>
        <family val="2"/>
        <scheme val="minor"/>
      </rPr>
      <t>, L. 20, col d, amount in Column 14 from FF1 112-113, L. 20, col c, amounts in columns 3-13 from PG&amp;E internal records (G/L account Cumulative Balance by period for SAP account 9223000, Company Code PGE1)</t>
    </r>
  </si>
  <si>
    <r>
      <t>4) Amount in Column 2 from FF1 112</t>
    </r>
    <r>
      <rPr>
        <sz val="11"/>
        <rFont val="Calibri"/>
        <family val="2"/>
      </rPr>
      <t>-113</t>
    </r>
    <r>
      <rPr>
        <sz val="11"/>
        <rFont val="Calibri"/>
        <family val="2"/>
        <scheme val="minor"/>
      </rPr>
      <t>, L. 21, col d, amount in Column 14 from FF1 112-113, L. 21, col c, amounts in columns 3-13 from PG&amp;E internal records (G/L account Cumulative Balance by period for SAP account 9224000, Company Code PGE1)</t>
    </r>
  </si>
  <si>
    <r>
      <t>5) Amount in Column 2 from FF1 112</t>
    </r>
    <r>
      <rPr>
        <sz val="11"/>
        <rFont val="Calibri"/>
        <family val="2"/>
      </rPr>
      <t>-113</t>
    </r>
    <r>
      <rPr>
        <sz val="11"/>
        <rFont val="Calibri"/>
        <family val="2"/>
        <scheme val="minor"/>
      </rPr>
      <t>, L. 22, col d, amount in Column 14 from FF1 112-113, L. 22, col c, amounts in columns 3-13 from PG&amp;E internal records (G/L account Cumulative Balance by period for SAP account 9225000, Company Code PGE1)</t>
    </r>
  </si>
  <si>
    <r>
      <t>6) Amount in Column 2 from FF1 112</t>
    </r>
    <r>
      <rPr>
        <sz val="11"/>
        <rFont val="Calibri"/>
        <family val="2"/>
      </rPr>
      <t>-113</t>
    </r>
    <r>
      <rPr>
        <sz val="11"/>
        <rFont val="Calibri"/>
        <family val="2"/>
        <scheme val="minor"/>
      </rPr>
      <t>, L. 23, col d, amount in Column 14 from FF1 112-113, L. 23, col c, amounts in columns 3-13 from PG&amp;E internal records (G/L account Cumulative Balance by period for SAP account 9226000, Company Code PGE1)</t>
    </r>
  </si>
  <si>
    <r>
      <t xml:space="preserve">7) Amount in Column 2 from FF1 </t>
    </r>
    <r>
      <rPr>
        <sz val="11"/>
        <rFont val="Calibri"/>
        <family val="2"/>
      </rPr>
      <t>110-</t>
    </r>
    <r>
      <rPr>
        <sz val="11"/>
        <rFont val="Calibri"/>
        <family val="2"/>
        <scheme val="minor"/>
      </rPr>
      <t>111, L. 69, col d, amount in Column 14 from FF1 110-111, L. 69, col c, amounts in columns 3-13 from PG&amp;E internal records (G/L account Cumulative Balance by period for SAP accounts 9181000, 9181001, Company Code PGE1)</t>
    </r>
  </si>
  <si>
    <r>
      <t xml:space="preserve">8) Amount in Column 2 from FF1 </t>
    </r>
    <r>
      <rPr>
        <sz val="11"/>
        <rFont val="Calibri"/>
        <family val="2"/>
      </rPr>
      <t>110-</t>
    </r>
    <r>
      <rPr>
        <sz val="11"/>
        <rFont val="Calibri"/>
        <family val="2"/>
        <scheme val="minor"/>
      </rPr>
      <t>111, L. 81, col d, amount in Column 14 from FF1 110-111, L. 81, col c, amounts in columns 3-13 from PG&amp;E internal records (G/L account Cumulative Balance by period for SAP account 9189000, Company Code PGE1)</t>
    </r>
  </si>
  <si>
    <r>
      <t>12) Amount in Column 2 from FF1 112</t>
    </r>
    <r>
      <rPr>
        <sz val="11"/>
        <rFont val="Calibri"/>
        <family val="2"/>
      </rPr>
      <t>-113</t>
    </r>
    <r>
      <rPr>
        <sz val="11"/>
        <rFont val="Calibri"/>
        <family val="2"/>
        <scheme val="minor"/>
      </rPr>
      <t xml:space="preserve">, L. 16, col d, amount in Column 14 from FF1 112-113, L. 16, col c, amounts in columns 3-13 from PG&amp;E internal records (G/L account Cumulative Balance by period for SAP accounts 2010000, 2040000, 2040001, 2070000, 2070020, 2110010, 2110015, 2130020, </t>
    </r>
  </si>
  <si>
    <r>
      <t>13) Amount in Column 2 from FF1 112</t>
    </r>
    <r>
      <rPr>
        <sz val="11"/>
        <rFont val="Calibri"/>
        <family val="2"/>
      </rPr>
      <t>-113</t>
    </r>
    <r>
      <rPr>
        <sz val="11"/>
        <rFont val="Calibri"/>
        <family val="2"/>
        <scheme val="minor"/>
      </rPr>
      <t>, L. 12, col d, amount in Column 14 from FF1 112-113, L. 12, col c, amounts in columns 3-13 from PG&amp;E internal records (G/L account Cumulative Balance by period for SAP account 2161001, Company Code PGE1)</t>
    </r>
  </si>
  <si>
    <r>
      <t>14) Amount in Column 2 from FF1 112</t>
    </r>
    <r>
      <rPr>
        <sz val="11"/>
        <rFont val="Calibri"/>
        <family val="2"/>
      </rPr>
      <t>-113</t>
    </r>
    <r>
      <rPr>
        <sz val="11"/>
        <rFont val="Calibri"/>
        <family val="2"/>
        <scheme val="minor"/>
      </rPr>
      <t>, L. 15, col d, amount in Column 14 from FF1 112-113, L. 15, col c, amounts in columns 3-13 from PG&amp;E internal records (G/L account Cumulative Balance by period for SAP account 2190001, Company Code PGE1)</t>
    </r>
  </si>
  <si>
    <r>
      <t xml:space="preserve">2) The Total FF1 Recorded O&amp;M Expense is the sum of Labor and Non-labor FF1 Recorded O&amp;M Expense (obtained as explained in Note 1) and tie to the amounts provided in FF1 </t>
    </r>
    <r>
      <rPr>
        <sz val="11"/>
        <rFont val="Calibri"/>
        <family val="2"/>
      </rPr>
      <t>320-323</t>
    </r>
    <r>
      <rPr>
        <sz val="11"/>
        <rFont val="Calibri"/>
        <family val="2"/>
        <scheme val="minor"/>
      </rPr>
      <t xml:space="preserve">, L. 112, col b.  </t>
    </r>
  </si>
  <si>
    <r>
      <t xml:space="preserve">FF1 </t>
    </r>
    <r>
      <rPr>
        <sz val="11"/>
        <rFont val="Calibri"/>
        <family val="2"/>
      </rPr>
      <t>110-</t>
    </r>
    <r>
      <rPr>
        <sz val="11"/>
        <rFont val="Calibri"/>
        <family val="2"/>
        <scheme val="minor"/>
      </rPr>
      <t>111, L. 57, col c</t>
    </r>
  </si>
  <si>
    <r>
      <t xml:space="preserve">FF1 Recorded O&amp;M Expense
 FF1 </t>
    </r>
    <r>
      <rPr>
        <b/>
        <sz val="11"/>
        <rFont val="Calibri"/>
        <family val="2"/>
      </rPr>
      <t>320-323</t>
    </r>
    <r>
      <rPr>
        <b/>
        <sz val="11"/>
        <rFont val="Calibri"/>
        <family val="2"/>
        <scheme val="minor"/>
      </rPr>
      <t xml:space="preserve">, L. 83-98 and L. 101-110, col b </t>
    </r>
  </si>
  <si>
    <r>
      <t xml:space="preserve">5) See FF1 </t>
    </r>
    <r>
      <rPr>
        <sz val="9.35"/>
        <rFont val="Calibri"/>
        <family val="2"/>
      </rPr>
      <t>328-</t>
    </r>
    <r>
      <rPr>
        <sz val="11"/>
        <rFont val="Calibri"/>
        <family val="2"/>
        <scheme val="minor"/>
      </rPr>
      <t>330, col n,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</si>
</sst>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000%"/>
    <numFmt numFmtId="168" formatCode="0.0%"/>
    <numFmt numFmtId="169" formatCode="General_)"/>
    <numFmt numFmtId="170" formatCode="[$-409]mmmm\ d\,\ yyyy;@"/>
    <numFmt numFmtId="171" formatCode="[$-409]d\-mmm;@"/>
    <numFmt numFmtId="172" formatCode="_([$€-2]* #,##0.00_);_([$€-2]* \(#,##0.00\);_([$€-2]* &quot;-&quot;??_)"/>
    <numFmt numFmtId="173" formatCode="mmmddyyyy"/>
    <numFmt numFmtId="174" formatCode="0.000000"/>
    <numFmt numFmtId="175" formatCode="[$-409]d\-mmm\-yy;@"/>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 numFmtId="192" formatCode="0.000000000"/>
    <numFmt numFmtId="193" formatCode="&quot;$&quot;#,##0.0_);[Red]\(&quot;$&quot;#,##0.0\)"/>
    <numFmt numFmtId="194" formatCode="0.000"/>
    <numFmt numFmtId="195" formatCode="0.000%"/>
    <numFmt numFmtId="196" formatCode="_(&quot;$&quot;* #,##0.00_);_(&quot;$&quot;* \(#,##0.00\);_(&quot;$&quot;* &quot;-&quot;_);_(@_)"/>
    <numFmt numFmtId="197" formatCode="0_);\(0\)"/>
    <numFmt numFmtId="198" formatCode="_(* #,##0.00000_);_(* \(#,##0.00000\);_(* &quot;-&quot;??_);_(@_)"/>
    <numFmt numFmtId="199" formatCode="&quot;$&quot;#,##0.00"/>
    <numFmt numFmtId="200" formatCode="&quot;$&quot;#,##0.0000_);[Red]\(&quot;$&quot;#,##0.0000\)"/>
    <numFmt numFmtId="201" formatCode="_(* #,##0.0000_);_(* \(#,##0.0000\);_(* &quot;-&quot;??_);_(@_)"/>
    <numFmt numFmtId="202" formatCode="&quot;$&quot;#,##0.00000"/>
    <numFmt numFmtId="203" formatCode="0.00000"/>
    <numFmt numFmtId="204" formatCode="m/d/yy;@"/>
    <numFmt numFmtId="205" formatCode="_(* #,##0.0000000_);_(* \(#,##0.0000000\);_(* &quot;-&quot;??_);_(@_)"/>
    <numFmt numFmtId="206" formatCode="_(&quot;$&quot;* #,##0.0000_);_(&quot;$&quot;* \(#,##0.0000\);_(&quot;$&quot;* &quot;-&quot;??_);_(@_)"/>
  </numFmts>
  <fonts count="123">
    <font>
      <sz val="11"/>
      <color theme="1"/>
      <name val="Calibri"/>
      <family val="2"/>
      <scheme val="minor"/>
    </font>
    <font>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
      <sz val="10"/>
      <name val="Arial"/>
      <family val="2"/>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name val="Calibri"/>
      <family val="2"/>
      <scheme val="minor"/>
    </font>
    <font>
      <sz val="10"/>
      <name val="Helv"/>
      <family val="2"/>
    </font>
    <font>
      <sz val="8"/>
      <name val="Times New Roman"/>
      <family val="1"/>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sz val="11"/>
      <color theme="1"/>
      <name val="Times New Roman"/>
      <family val="1"/>
    </font>
    <font>
      <b/>
      <sz val="16"/>
      <color theme="1"/>
      <name val="Times New Roman"/>
      <family val="1"/>
    </font>
    <font>
      <b/>
      <sz val="14"/>
      <color theme="1"/>
      <name val="Times New Roman"/>
      <family val="1"/>
    </font>
    <font>
      <u/>
      <sz val="11"/>
      <name val="Calibri"/>
      <family val="2"/>
      <scheme val="minor"/>
    </font>
    <font>
      <b/>
      <sz val="11"/>
      <name val="Calibri"/>
      <family val="2"/>
      <scheme val="minor"/>
    </font>
    <font>
      <b/>
      <u/>
      <sz val="11"/>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
      <b/>
      <i/>
      <sz val="11"/>
      <name val="Calibri"/>
      <family val="2"/>
      <scheme val="minor"/>
    </font>
    <font>
      <i/>
      <sz val="11"/>
      <name val="Calibri"/>
      <family val="2"/>
      <scheme val="minor"/>
    </font>
    <font>
      <i/>
      <sz val="11"/>
      <color rgb="FFFF0000"/>
      <name val="Calibri"/>
      <family val="2"/>
      <scheme val="minor"/>
    </font>
    <font>
      <sz val="11"/>
      <color indexed="8"/>
      <name val="Calibri"/>
      <family val="2"/>
      <scheme val="minor"/>
    </font>
    <font>
      <i/>
      <sz val="11"/>
      <color indexed="12"/>
      <name val="Calibri"/>
      <family val="2"/>
      <scheme val="minor"/>
    </font>
    <font>
      <sz val="11"/>
      <color indexed="16"/>
      <name val="Calibri"/>
      <family val="2"/>
      <scheme val="minor"/>
    </font>
    <font>
      <sz val="11"/>
      <color indexed="12"/>
      <name val="Calibri"/>
      <family val="2"/>
      <scheme val="minor"/>
    </font>
    <font>
      <u/>
      <sz val="11"/>
      <color indexed="8"/>
      <name val="Calibri"/>
      <family val="2"/>
      <scheme val="minor"/>
    </font>
    <font>
      <b/>
      <sz val="11"/>
      <color indexed="8"/>
      <name val="Calibri"/>
      <family val="2"/>
      <scheme val="minor"/>
    </font>
    <font>
      <b/>
      <sz val="10"/>
      <color theme="1"/>
      <name val="Times New Roman"/>
      <family val="1"/>
    </font>
    <font>
      <sz val="11"/>
      <name val="Calibri"/>
      <family val="2"/>
    </font>
    <font>
      <b/>
      <sz val="9.35"/>
      <name val="Calibri"/>
      <family val="2"/>
    </font>
    <font>
      <b/>
      <sz val="11"/>
      <name val="Calibri"/>
      <family val="2"/>
    </font>
    <font>
      <b/>
      <strike/>
      <sz val="8.8000000000000007"/>
      <name val="Calibri"/>
      <family val="2"/>
    </font>
    <font>
      <b/>
      <strike/>
      <sz val="11"/>
      <name val="Calibri"/>
      <family val="2"/>
    </font>
    <font>
      <b/>
      <sz val="10"/>
      <name val="Times New Roman"/>
      <family val="1"/>
    </font>
    <font>
      <sz val="8.8000000000000007"/>
      <name val="Calibri"/>
      <family val="2"/>
    </font>
    <font>
      <sz val="11"/>
      <color rgb="FFFF0000"/>
      <name val="Calibri"/>
      <family val="2"/>
    </font>
    <font>
      <sz val="9.35"/>
      <name val="Calibri"/>
      <family val="2"/>
    </font>
    <font>
      <sz val="9.9"/>
      <name val="Calibri"/>
      <family val="2"/>
    </font>
    <font>
      <sz val="11"/>
      <color theme="1"/>
      <name val="Calibri"/>
      <family val="2"/>
      <scheme val="minor"/>
    </font>
  </fonts>
  <fills count="95">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89013336588644"/>
        <bgColor indexed="64"/>
      </patternFill>
    </fill>
    <fill>
      <patternFill patternType="solid">
        <fgColor indexed="45"/>
        <bgColor indexed="64"/>
      </patternFill>
    </fill>
    <fill>
      <patternFill patternType="solid">
        <fgColor indexed="29"/>
        <bgColor indexed="64"/>
      </patternFill>
    </fill>
    <fill>
      <patternFill patternType="solid">
        <fgColor theme="5" tint="0.79989013336588644"/>
        <bgColor indexed="64"/>
      </patternFill>
    </fill>
    <fill>
      <patternFill patternType="solid">
        <fgColor indexed="42"/>
        <bgColor indexed="64"/>
      </patternFill>
    </fill>
    <fill>
      <patternFill patternType="solid">
        <fgColor indexed="26"/>
        <bgColor indexed="64"/>
      </patternFill>
    </fill>
    <fill>
      <patternFill patternType="solid">
        <fgColor theme="6" tint="0.79989013336588644"/>
        <bgColor indexed="64"/>
      </patternFill>
    </fill>
    <fill>
      <patternFill patternType="solid">
        <fgColor indexed="46"/>
        <bgColor indexed="64"/>
      </patternFill>
    </fill>
    <fill>
      <patternFill patternType="solid">
        <fgColor indexed="9"/>
        <bgColor indexed="64"/>
      </patternFill>
    </fill>
    <fill>
      <patternFill patternType="solid">
        <fgColor theme="7" tint="0.79989013336588644"/>
        <bgColor indexed="64"/>
      </patternFill>
    </fill>
    <fill>
      <patternFill patternType="solid">
        <fgColor indexed="27"/>
        <bgColor indexed="64"/>
      </patternFill>
    </fill>
    <fill>
      <patternFill patternType="solid">
        <fgColor indexed="44"/>
        <bgColor indexed="64"/>
      </patternFill>
    </fill>
    <fill>
      <patternFill patternType="solid">
        <fgColor theme="8" tint="0.79989013336588644"/>
        <bgColor indexed="64"/>
      </patternFill>
    </fill>
    <fill>
      <patternFill patternType="solid">
        <fgColor indexed="47"/>
        <bgColor indexed="64"/>
      </patternFill>
    </fill>
    <fill>
      <patternFill patternType="solid">
        <fgColor theme="9" tint="0.79989013336588644"/>
        <bgColor indexed="64"/>
      </patternFill>
    </fill>
    <fill>
      <patternFill patternType="solid">
        <fgColor indexed="5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indexed="11"/>
        <bgColor indexed="64"/>
      </patternFill>
    </fill>
    <fill>
      <patternFill patternType="solid">
        <fgColor indexed="57"/>
        <bgColor indexed="64"/>
      </patternFill>
    </fill>
    <fill>
      <patternFill patternType="solid">
        <fgColor theme="6" tint="0.59990234076967686"/>
        <bgColor indexed="64"/>
      </patternFill>
    </fill>
    <fill>
      <patternFill patternType="solid">
        <fgColor indexed="22"/>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indexed="51"/>
        <bgColor indexed="64"/>
      </patternFill>
    </fill>
    <fill>
      <patternFill patternType="solid">
        <fgColor theme="9" tint="0.59990234076967686"/>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
      <patternFill patternType="solid">
        <fgColor rgb="FFFFE97D"/>
        <bgColor indexed="64"/>
      </patternFill>
    </fill>
    <fill>
      <patternFill patternType="solid">
        <fgColor rgb="FFFF0000"/>
        <bgColor indexed="64"/>
      </patternFill>
    </fill>
  </fills>
  <borders count="51">
    <border>
      <left/>
      <right/>
      <top/>
      <bottom/>
      <diagonal/>
    </border>
    <border>
      <left style="thin">
        <color theme="3" tint="-0.24985503707998902"/>
      </left>
      <right style="thin">
        <color theme="3" tint="-0.24985503707998902"/>
      </right>
      <top style="thin">
        <color theme="3" tint="-0.24985503707998902"/>
      </top>
      <bottom style="thin">
        <color theme="3" tint="-0.24985503707998902"/>
      </bottom>
      <diagonal/>
    </border>
    <border>
      <left style="thin">
        <color theme="3" tint="0.59987182226020086"/>
      </left>
      <right style="thin">
        <color theme="3" tint="0.59987182226020086"/>
      </right>
      <top style="thin">
        <color theme="3" tint="0.59987182226020086"/>
      </top>
      <bottom style="thin">
        <color theme="3" tint="0.59987182226020086"/>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auto="1"/>
      </left>
      <right/>
      <top/>
      <bottom/>
      <diagonal/>
    </border>
    <border>
      <left style="double">
        <color auto="1"/>
      </left>
      <right/>
      <top/>
      <bottom style="hair">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22"/>
      </bottom>
      <diagonal/>
    </border>
    <border>
      <left/>
      <right/>
      <top/>
      <bottom style="thick">
        <color indexed="58"/>
      </bottom>
      <diagonal/>
    </border>
    <border>
      <left/>
      <right/>
      <top/>
      <bottom style="thick">
        <color theme="4" tint="0.49989318521683401"/>
      </bottom>
      <diagonal/>
    </border>
    <border>
      <left/>
      <right/>
      <top/>
      <bottom style="medium">
        <color indexed="30"/>
      </bottom>
      <diagonal/>
    </border>
    <border>
      <left/>
      <right/>
      <top/>
      <bottom style="medium">
        <color indexed="58"/>
      </bottom>
      <diagonal/>
    </border>
    <border>
      <left/>
      <right/>
      <top/>
      <bottom style="medium">
        <color theme="4" tint="0.39997558519241921"/>
      </bottom>
      <diagonal/>
    </border>
    <border>
      <left/>
      <right/>
      <top/>
      <bottom style="medium">
        <color indexed="24"/>
      </bottom>
      <diagonal/>
    </border>
    <border>
      <left/>
      <right/>
      <top/>
      <bottom style="medium">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rgb="FFFF8001"/>
      </bottom>
      <diagonal/>
    </border>
    <border>
      <left/>
      <right/>
      <top/>
      <bottom style="double">
        <color indexed="53"/>
      </bottom>
      <diagonal/>
    </border>
    <border>
      <left/>
      <right/>
      <top/>
      <bottom style="thin">
        <color auto="1"/>
      </bottom>
      <diagonal/>
    </border>
    <border>
      <left/>
      <right/>
      <top style="thin">
        <color auto="1"/>
      </top>
      <bottom/>
      <diagonal/>
    </border>
    <border>
      <left/>
      <right/>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874">
    <xf numFmtId="0" fontId="0" fillId="0" borderId="0"/>
    <xf numFmtId="9" fontId="122" fillId="0" borderId="0" applyFont="0" applyFill="0" applyBorder="0" applyAlignment="0" applyProtection="0"/>
    <xf numFmtId="44" fontId="122" fillId="0" borderId="0" applyFont="0" applyFill="0" applyBorder="0" applyAlignment="0" applyProtection="0"/>
    <xf numFmtId="42" fontId="1" fillId="0" borderId="0" applyFont="0" applyFill="0" applyBorder="0" applyAlignment="0" applyProtection="0"/>
    <xf numFmtId="43" fontId="122"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0" fontId="5" fillId="0" borderId="0"/>
    <xf numFmtId="0" fontId="7" fillId="0" borderId="0"/>
    <xf numFmtId="0" fontId="8" fillId="0" borderId="1" applyNumberFormat="0" applyFont="0" applyFill="0" applyAlignment="0" applyProtection="0"/>
    <xf numFmtId="0" fontId="9" fillId="0" borderId="2" applyNumberFormat="0" applyProtection="0">
      <alignment horizontal="right" vertical="center"/>
    </xf>
    <xf numFmtId="0" fontId="10" fillId="0" borderId="3" applyNumberFormat="0" applyProtection="0">
      <alignment horizontal="right" vertical="center"/>
    </xf>
    <xf numFmtId="0" fontId="10" fillId="2" borderId="1" applyNumberFormat="0" applyProtection="0"/>
    <xf numFmtId="0" fontId="11" fillId="3" borderId="3" applyNumberFormat="0" applyProtection="0"/>
    <xf numFmtId="0" fontId="11" fillId="3" borderId="3" applyNumberFormat="0" applyProtection="0"/>
    <xf numFmtId="0" fontId="12" fillId="0" borderId="4" applyNumberFormat="0" applyFill="0" applyBorder="0" applyAlignment="0" applyProtection="0"/>
    <xf numFmtId="0" fontId="12" fillId="3" borderId="3" applyNumberFormat="0" applyProtection="0"/>
    <xf numFmtId="0" fontId="12" fillId="3" borderId="3" applyNumberFormat="0" applyProtection="0"/>
    <xf numFmtId="0" fontId="13" fillId="4" borderId="2" applyNumberFormat="0" applyBorder="0" applyProtection="0">
      <alignment horizontal="right" vertical="center"/>
    </xf>
    <xf numFmtId="0" fontId="14" fillId="4" borderId="3" applyNumberFormat="0" applyBorder="0" applyProtection="0">
      <alignment horizontal="right" vertical="center"/>
    </xf>
    <xf numFmtId="0" fontId="12" fillId="5" borderId="3" applyNumberFormat="0" applyProtection="0"/>
    <xf numFmtId="0" fontId="14" fillId="5" borderId="3" applyNumberFormat="0" applyProtection="0">
      <alignment horizontal="right" vertical="center"/>
    </xf>
    <xf numFmtId="0" fontId="15" fillId="0" borderId="4" applyBorder="0" applyAlignment="0" applyProtection="0"/>
    <xf numFmtId="0" fontId="16" fillId="6" borderId="5" applyNumberFormat="0" applyBorder="0" applyProtection="0"/>
    <xf numFmtId="0" fontId="17" fillId="7" borderId="5" applyNumberFormat="0" applyBorder="0" applyProtection="0"/>
    <xf numFmtId="0" fontId="17" fillId="8" borderId="5" applyNumberFormat="0" applyBorder="0" applyProtection="0"/>
    <xf numFmtId="0" fontId="18" fillId="9" borderId="5" applyNumberFormat="0" applyBorder="0" applyProtection="0"/>
    <xf numFmtId="0" fontId="18" fillId="10" borderId="5" applyNumberFormat="0" applyBorder="0" applyProtection="0"/>
    <xf numFmtId="0" fontId="18" fillId="11" borderId="5" applyNumberFormat="0" applyBorder="0" applyProtection="0"/>
    <xf numFmtId="0" fontId="19" fillId="12" borderId="5" applyNumberFormat="0" applyBorder="0" applyProtection="0"/>
    <xf numFmtId="0" fontId="19" fillId="13" borderId="5" applyNumberFormat="0" applyBorder="0" applyProtection="0"/>
    <xf numFmtId="0" fontId="19" fillId="14" borderId="5" applyNumberFormat="0" applyBorder="0" applyProtection="0"/>
    <xf numFmtId="0" fontId="11" fillId="15" borderId="1" applyNumberFormat="0" applyProtection="0"/>
    <xf numFmtId="0" fontId="11" fillId="16" borderId="1" applyNumberFormat="0" applyProtection="0"/>
    <xf numFmtId="0" fontId="11" fillId="17" borderId="1" applyNumberFormat="0" applyProtection="0"/>
    <xf numFmtId="0" fontId="11" fillId="4" borderId="1" applyNumberFormat="0" applyProtection="0"/>
    <xf numFmtId="0" fontId="11" fillId="5" borderId="3" applyNumberFormat="0" applyProtection="0"/>
    <xf numFmtId="0" fontId="9" fillId="4" borderId="2" applyNumberFormat="0" applyBorder="0" applyProtection="0">
      <alignment horizontal="right" vertical="center"/>
    </xf>
    <xf numFmtId="0" fontId="10" fillId="4" borderId="3" applyNumberFormat="0" applyBorder="0" applyProtection="0">
      <alignment horizontal="right" vertical="center"/>
    </xf>
    <xf numFmtId="0" fontId="9" fillId="2" borderId="1" applyNumberFormat="0" applyProtection="0"/>
    <xf numFmtId="0" fontId="10" fillId="2" borderId="3" applyNumberFormat="0" applyProtection="0"/>
    <xf numFmtId="0" fontId="11" fillId="5" borderId="3" applyNumberFormat="0" applyProtection="0"/>
    <xf numFmtId="0" fontId="10" fillId="5" borderId="3" applyNumberFormat="0" applyProtection="0">
      <alignment horizontal="right" vertical="center"/>
    </xf>
    <xf numFmtId="0" fontId="5" fillId="0" borderId="0"/>
    <xf numFmtId="0" fontId="5"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5" fillId="0" borderId="0" applyFont="0" applyFill="0" applyBorder="0" applyAlignment="0" applyProtection="0"/>
    <xf numFmtId="0" fontId="122" fillId="0" borderId="0"/>
    <xf numFmtId="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9" fontId="122" fillId="0" borderId="0" applyFont="0" applyFill="0" applyBorder="0" applyAlignment="0" applyProtection="0"/>
    <xf numFmtId="9" fontId="5" fillId="0" borderId="0" applyFont="0" applyFill="0" applyBorder="0" applyAlignment="0" applyProtection="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8" fillId="0" borderId="0" applyNumberFormat="0" applyFill="0" applyBorder="0" applyProtection="0"/>
    <xf numFmtId="0" fontId="38"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Protection="0"/>
    <xf numFmtId="0" fontId="40"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3" fontId="5" fillId="0" borderId="0" applyFont="0" applyFill="0" applyBorder="0" applyAlignment="0" applyProtection="0"/>
    <xf numFmtId="170" fontId="41" fillId="0" borderId="6" applyBorder="0">
      <alignment horizontal="left"/>
    </xf>
    <xf numFmtId="171" fontId="41" fillId="0" borderId="6" applyBorder="0">
      <alignment horizontal="left"/>
    </xf>
    <xf numFmtId="0" fontId="42" fillId="0" borderId="0"/>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22" fillId="34" borderId="0" applyNumberFormat="0" applyBorder="0" applyAlignment="0" applyProtection="0"/>
    <xf numFmtId="0" fontId="122" fillId="34"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177" fontId="6" fillId="31" borderId="7">
      <alignment horizontal="center" vertical="center"/>
    </xf>
    <xf numFmtId="178" fontId="37" fillId="31" borderId="7">
      <alignment horizontal="center" vertical="center"/>
    </xf>
    <xf numFmtId="177" fontId="6"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0" fontId="22" fillId="0" borderId="0">
      <alignment horizontal="center" wrapText="1"/>
      <protection locked="0"/>
    </xf>
    <xf numFmtId="0"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5"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8" applyFont="0"/>
    <xf numFmtId="1" fontId="52" fillId="0" borderId="8"/>
    <xf numFmtId="0" fontId="53" fillId="0" borderId="6" applyNumberFormat="0" applyBorder="0">
      <alignment horizontal="right"/>
    </xf>
    <xf numFmtId="167" fontId="5" fillId="0" borderId="0" applyFill="0" applyBorder="0" applyAlignment="0"/>
    <xf numFmtId="167" fontId="5" fillId="0" borderId="0" applyFill="0" applyBorder="0" applyAlignment="0"/>
    <xf numFmtId="167" fontId="5" fillId="0" borderId="0" applyFill="0" applyBorder="0" applyAlignment="0"/>
    <xf numFmtId="167" fontId="5" fillId="0" borderId="0" applyFill="0" applyBorder="0" applyAlignment="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5" fillId="78" borderId="11"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55" fillId="78" borderId="11" applyNumberFormat="0" applyAlignment="0" applyProtection="0"/>
    <xf numFmtId="0" fontId="55" fillId="78" borderId="11" applyNumberFormat="0" applyAlignment="0" applyProtection="0"/>
    <xf numFmtId="0" fontId="31" fillId="77" borderId="9" applyNumberFormat="0" applyAlignment="0" applyProtection="0"/>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wrapText="1"/>
    </xf>
    <xf numFmtId="179" fontId="5" fillId="0" borderId="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1"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22" fillId="0" borderId="0" applyFont="0" applyFill="0" applyBorder="0" applyAlignment="0" applyProtection="0"/>
    <xf numFmtId="4"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181" fontId="52" fillId="0" borderId="8"/>
    <xf numFmtId="44" fontId="122" fillId="0" borderId="0" applyFont="0" applyFill="0" applyBorder="0" applyAlignment="0" applyProtection="0"/>
    <xf numFmtId="44" fontId="122"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183" fontId="60" fillId="0" borderId="0" applyFont="0" applyFill="0" applyBorder="0" applyAlignment="0" applyProtection="0"/>
    <xf numFmtId="6" fontId="61" fillId="0" borderId="0">
      <protection locked="0"/>
    </xf>
    <xf numFmtId="14" fontId="5" fillId="0" borderId="0" applyFont="0" applyFill="0" applyBorder="0" applyAlignment="0" applyProtection="0"/>
    <xf numFmtId="14" fontId="5" fillId="0" borderId="0" applyFont="0" applyFill="0" applyBorder="0" applyAlignment="0" applyProtection="0"/>
    <xf numFmtId="6" fontId="61" fillId="0" borderId="0">
      <protection locked="0"/>
    </xf>
    <xf numFmtId="4" fontId="62" fillId="0" borderId="0" applyFont="0" applyFill="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172"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0" fontId="62"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36" fillId="0" borderId="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5">
      <alignment horizontal="left" vertical="center"/>
    </xf>
    <xf numFmtId="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0" fontId="76" fillId="0" borderId="26">
      <alignment horizontal="center"/>
    </xf>
    <xf numFmtId="0" fontId="76" fillId="0" borderId="26">
      <alignment horizontal="center"/>
    </xf>
    <xf numFmtId="170"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0" fontId="76" fillId="0" borderId="26">
      <alignment horizontal="center"/>
    </xf>
    <xf numFmtId="171" fontId="76" fillId="0" borderId="26">
      <alignment horizontal="center"/>
    </xf>
    <xf numFmtId="175" fontId="76" fillId="0" borderId="26">
      <alignment horizontal="center"/>
    </xf>
    <xf numFmtId="171" fontId="76" fillId="0" borderId="26">
      <alignment horizontal="center"/>
    </xf>
    <xf numFmtId="171" fontId="76" fillId="0" borderId="26">
      <alignment horizontal="center"/>
    </xf>
    <xf numFmtId="0" fontId="76" fillId="0" borderId="0">
      <alignment horizontal="center"/>
    </xf>
    <xf numFmtId="0" fontId="76" fillId="0" borderId="0">
      <alignment horizontal="center"/>
    </xf>
    <xf numFmtId="170"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0" fontId="76" fillId="0" borderId="0">
      <alignment horizontal="center"/>
    </xf>
    <xf numFmtId="171" fontId="76" fillId="0" borderId="0">
      <alignment horizontal="center"/>
    </xf>
    <xf numFmtId="175" fontId="76" fillId="0" borderId="0">
      <alignment horizontal="center"/>
    </xf>
    <xf numFmtId="171" fontId="76" fillId="0" borderId="0">
      <alignment horizontal="center"/>
    </xf>
    <xf numFmtId="171" fontId="76" fillId="0" borderId="0">
      <alignment horizontal="center"/>
    </xf>
    <xf numFmtId="0" fontId="62" fillId="0" borderId="0" applyProtection="0">
      <alignment horizontal="right"/>
    </xf>
    <xf numFmtId="0" fontId="62" fillId="0" borderId="0" applyProtection="0">
      <alignment horizontal="right"/>
    </xf>
    <xf numFmtId="170"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0" fontId="62" fillId="0" borderId="0" applyProtection="0">
      <alignment horizontal="right"/>
    </xf>
    <xf numFmtId="171" fontId="62" fillId="0" borderId="0" applyProtection="0">
      <alignment horizontal="right"/>
    </xf>
    <xf numFmtId="175" fontId="62" fillId="0" borderId="0" applyProtection="0">
      <alignment horizontal="right"/>
    </xf>
    <xf numFmtId="171" fontId="62" fillId="0" borderId="0" applyProtection="0">
      <alignment horizontal="right"/>
    </xf>
    <xf numFmtId="171" fontId="62" fillId="0" borderId="0" applyProtection="0">
      <alignment horizontal="right"/>
    </xf>
    <xf numFmtId="186" fontId="5" fillId="0" borderId="0" applyFont="0" applyFill="0" applyBorder="0" applyAlignment="0" applyProtection="0"/>
    <xf numFmtId="186" fontId="5" fillId="0" borderId="0" applyFont="0" applyFill="0" applyBorder="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39" fontId="78" fillId="0" borderId="0">
      <protection locked="0"/>
    </xf>
    <xf numFmtId="169" fontId="78" fillId="0" borderId="0"/>
    <xf numFmtId="37" fontId="79" fillId="0" borderId="0"/>
    <xf numFmtId="37" fontId="79" fillId="0" borderId="0"/>
    <xf numFmtId="0" fontId="80" fillId="0" borderId="0" applyNumberFormat="0" applyFill="0" applyBorder="0">
      <protection locked="0"/>
    </xf>
    <xf numFmtId="170" fontId="81" fillId="0" borderId="0" applyFill="0" applyBorder="0" applyProtection="0"/>
    <xf numFmtId="171" fontId="81" fillId="0" borderId="0" applyFill="0" applyBorder="0" applyProtection="0"/>
    <xf numFmtId="0" fontId="47" fillId="25" borderId="8" applyNumberFormat="0" applyBorder="0" applyAlignment="0" applyProtection="0"/>
    <xf numFmtId="0" fontId="47" fillId="25" borderId="8" applyNumberFormat="0" applyBorder="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187" fontId="84" fillId="0" borderId="0" applyFont="0" applyFill="0" applyBorder="0" applyProtection="0">
      <alignment horizontal="center"/>
    </xf>
    <xf numFmtId="0" fontId="36" fillId="87" borderId="0" applyNumberFormat="0" applyFont="0" applyBorder="0" applyProtection="0"/>
    <xf numFmtId="0" fontId="36" fillId="87" borderId="0" applyNumberFormat="0" applyFont="0" applyBorder="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67" fillId="0" borderId="29"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170" fontId="87" fillId="88" borderId="0">
      <alignment horizontal="right"/>
    </xf>
    <xf numFmtId="171" fontId="87" fillId="88" borderId="0">
      <alignment horizontal="right"/>
    </xf>
    <xf numFmtId="17" fontId="88" fillId="0" borderId="0" applyFont="0" applyFill="0" applyBorder="0">
      <protection locked="0"/>
    </xf>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67"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67"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37" fontId="90" fillId="0" borderId="0"/>
    <xf numFmtId="188" fontId="91" fillId="0" borderId="0"/>
    <xf numFmtId="189" fontId="5" fillId="0" borderId="0"/>
    <xf numFmtId="189" fontId="5" fillId="0" borderId="0"/>
    <xf numFmtId="190" fontId="5" fillId="0" borderId="0"/>
    <xf numFmtId="190" fontId="5" fillId="0" borderId="0"/>
    <xf numFmtId="190" fontId="5" fillId="0" borderId="0"/>
    <xf numFmtId="190"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5" fillId="0" borderId="0"/>
    <xf numFmtId="170" fontId="5" fillId="0" borderId="0"/>
    <xf numFmtId="171" fontId="5" fillId="0" borderId="0"/>
    <xf numFmtId="171" fontId="5" fillId="0" borderId="0"/>
    <xf numFmtId="175" fontId="122" fillId="0" borderId="0"/>
    <xf numFmtId="0" fontId="122" fillId="0" borderId="0"/>
    <xf numFmtId="171" fontId="122" fillId="0" borderId="0"/>
    <xf numFmtId="171" fontId="122" fillId="0" borderId="0"/>
    <xf numFmtId="171" fontId="122" fillId="0" borderId="0"/>
    <xf numFmtId="176"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0"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122" fillId="0" borderId="0"/>
    <xf numFmtId="171" fontId="122" fillId="0" borderId="0"/>
    <xf numFmtId="171" fontId="122" fillId="0" borderId="0"/>
    <xf numFmtId="0" fontId="122"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22"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22" fillId="0" borderId="0"/>
    <xf numFmtId="171" fontId="122" fillId="0" borderId="0"/>
    <xf numFmtId="172" fontId="122" fillId="0" borderId="0"/>
    <xf numFmtId="170" fontId="122" fillId="0" borderId="0"/>
    <xf numFmtId="171" fontId="122" fillId="0" borderId="0"/>
    <xf numFmtId="171" fontId="122"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47" fillId="68" borderId="0"/>
    <xf numFmtId="170" fontId="47" fillId="68" borderId="0"/>
    <xf numFmtId="170"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0" fontId="47" fillId="68" borderId="0"/>
    <xf numFmtId="170" fontId="47" fillId="68" borderId="0"/>
    <xf numFmtId="171"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175"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7"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47" fillId="68" borderId="0"/>
    <xf numFmtId="170" fontId="47" fillId="68" borderId="0"/>
    <xf numFmtId="170"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0" fontId="47" fillId="68" borderId="0"/>
    <xf numFmtId="170" fontId="47" fillId="68" borderId="0"/>
    <xf numFmtId="171" fontId="47" fillId="68" borderId="0"/>
    <xf numFmtId="171" fontId="47" fillId="68" borderId="0"/>
    <xf numFmtId="0" fontId="122" fillId="0" borderId="0"/>
    <xf numFmtId="170" fontId="122" fillId="0" borderId="0"/>
    <xf numFmtId="171" fontId="122" fillId="0" borderId="0"/>
    <xf numFmtId="171" fontId="122" fillId="0" borderId="0"/>
    <xf numFmtId="171" fontId="47" fillId="68"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47" fillId="68" borderId="0"/>
    <xf numFmtId="171" fontId="47" fillId="68" borderId="0"/>
    <xf numFmtId="171" fontId="5" fillId="0" borderId="0"/>
    <xf numFmtId="176" fontId="47" fillId="68" borderId="0"/>
    <xf numFmtId="191" fontId="122" fillId="0" borderId="0"/>
    <xf numFmtId="0" fontId="122" fillId="0" borderId="0"/>
    <xf numFmtId="19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175" fontId="122" fillId="0" borderId="0"/>
    <xf numFmtId="171" fontId="122" fillId="0" borderId="0"/>
    <xf numFmtId="171" fontId="5" fillId="0" borderId="0"/>
    <xf numFmtId="0"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5" fontId="5" fillId="0" borderId="0"/>
    <xf numFmtId="171" fontId="5" fillId="0" borderId="0"/>
    <xf numFmtId="171" fontId="5" fillId="0" borderId="0"/>
    <xf numFmtId="0"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0"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122" fillId="0" borderId="0"/>
    <xf numFmtId="0" fontId="122" fillId="0" borderId="0"/>
    <xf numFmtId="0" fontId="122" fillId="0" borderId="0"/>
    <xf numFmtId="0" fontId="122" fillId="0" borderId="0"/>
    <xf numFmtId="0" fontId="122" fillId="0" borderId="0"/>
    <xf numFmtId="0" fontId="122" fillId="0" borderId="0"/>
    <xf numFmtId="17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1"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 fillId="0" borderId="0"/>
    <xf numFmtId="170" fontId="5" fillId="0" borderId="0"/>
    <xf numFmtId="171" fontId="5" fillId="0" borderId="0"/>
    <xf numFmtId="171" fontId="5" fillId="0" borderId="0"/>
    <xf numFmtId="175" fontId="122" fillId="0" borderId="0"/>
    <xf numFmtId="0" fontId="5" fillId="0" borderId="0"/>
    <xf numFmtId="171" fontId="5" fillId="0" borderId="0"/>
    <xf numFmtId="171" fontId="122" fillId="0" borderId="0"/>
    <xf numFmtId="0" fontId="5" fillId="0" borderId="0"/>
    <xf numFmtId="171" fontId="5" fillId="0" borderId="0"/>
    <xf numFmtId="0"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1" fontId="5" fillId="0" borderId="0"/>
    <xf numFmtId="176" fontId="5" fillId="0" borderId="0"/>
    <xf numFmtId="191" fontId="122" fillId="0" borderId="0"/>
    <xf numFmtId="0" fontId="5" fillId="0" borderId="0"/>
    <xf numFmtId="0" fontId="5"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0" fontId="122" fillId="0" borderId="0"/>
    <xf numFmtId="170" fontId="92" fillId="0" borderId="0"/>
    <xf numFmtId="170" fontId="92" fillId="0" borderId="0"/>
    <xf numFmtId="171" fontId="9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92" fillId="0" borderId="0"/>
    <xf numFmtId="172" fontId="92" fillId="0" borderId="0"/>
    <xf numFmtId="170" fontId="92" fillId="0" borderId="0"/>
    <xf numFmtId="170" fontId="92" fillId="0" borderId="0"/>
    <xf numFmtId="171" fontId="92" fillId="0" borderId="0"/>
    <xf numFmtId="0" fontId="122" fillId="0" borderId="0"/>
    <xf numFmtId="170" fontId="122" fillId="0" borderId="0"/>
    <xf numFmtId="171" fontId="122" fillId="0" borderId="0"/>
    <xf numFmtId="171" fontId="122" fillId="0" borderId="0"/>
    <xf numFmtId="171" fontId="92" fillId="0" borderId="0"/>
    <xf numFmtId="172" fontId="92" fillId="0" borderId="0"/>
    <xf numFmtId="170" fontId="92" fillId="0" borderId="0"/>
    <xf numFmtId="171" fontId="92" fillId="0" borderId="0"/>
    <xf numFmtId="171" fontId="9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92" fillId="0" borderId="0"/>
    <xf numFmtId="0" fontId="92" fillId="0" borderId="0"/>
    <xf numFmtId="170" fontId="92" fillId="0" borderId="0"/>
    <xf numFmtId="171" fontId="92" fillId="0" borderId="0"/>
    <xf numFmtId="171" fontId="92" fillId="0" borderId="0"/>
    <xf numFmtId="171" fontId="92" fillId="0" borderId="0"/>
    <xf numFmtId="0" fontId="92" fillId="0" borderId="0"/>
    <xf numFmtId="0"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1" fillId="0" borderId="0"/>
    <xf numFmtId="170" fontId="1" fillId="0" borderId="0"/>
    <xf numFmtId="170" fontId="1" fillId="0" borderId="0"/>
    <xf numFmtId="171" fontId="1" fillId="0" borderId="0"/>
    <xf numFmtId="0" fontId="122" fillId="0" borderId="0"/>
    <xf numFmtId="170" fontId="122" fillId="0" borderId="0"/>
    <xf numFmtId="171" fontId="122" fillId="0" borderId="0"/>
    <xf numFmtId="171" fontId="122" fillId="0" borderId="0"/>
    <xf numFmtId="171" fontId="1" fillId="0" borderId="0"/>
    <xf numFmtId="0" fontId="1" fillId="0" borderId="0"/>
    <xf numFmtId="170" fontId="1" fillId="0" borderId="0"/>
    <xf numFmtId="171" fontId="1" fillId="0" borderId="0"/>
    <xf numFmtId="171" fontId="1" fillId="0" borderId="0"/>
    <xf numFmtId="0" fontId="122" fillId="0" borderId="0"/>
    <xf numFmtId="170" fontId="122" fillId="0" borderId="0"/>
    <xf numFmtId="171" fontId="122" fillId="0" borderId="0"/>
    <xf numFmtId="171" fontId="122" fillId="0" borderId="0"/>
    <xf numFmtId="171" fontId="1" fillId="0" borderId="0"/>
    <xf numFmtId="0" fontId="5" fillId="0" borderId="0"/>
    <xf numFmtId="170" fontId="5" fillId="0" borderId="0"/>
    <xf numFmtId="171" fontId="5" fillId="0" borderId="0"/>
    <xf numFmtId="171" fontId="5" fillId="0" borderId="0"/>
    <xf numFmtId="175" fontId="5"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1" fontId="122"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5" fontId="122" fillId="0" borderId="0"/>
    <xf numFmtId="171" fontId="122" fillId="0" borderId="0"/>
    <xf numFmtId="171" fontId="5" fillId="0" borderId="0"/>
    <xf numFmtId="191" fontId="122"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5" fontId="5" fillId="0" borderId="0"/>
    <xf numFmtId="171" fontId="5"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2"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122" fillId="0" borderId="0"/>
    <xf numFmtId="170" fontId="122" fillId="0" borderId="0"/>
    <xf numFmtId="171" fontId="122"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122"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0" fontId="5" fillId="0" borderId="0"/>
    <xf numFmtId="171" fontId="5" fillId="0" borderId="0"/>
    <xf numFmtId="0" fontId="122" fillId="0" borderId="0"/>
    <xf numFmtId="170" fontId="122" fillId="0" borderId="0"/>
    <xf numFmtId="171" fontId="122" fillId="0" borderId="0"/>
    <xf numFmtId="171" fontId="122" fillId="0" borderId="0"/>
    <xf numFmtId="171" fontId="5" fillId="0" borderId="0"/>
    <xf numFmtId="172"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171" fontId="5" fillId="0" borderId="0"/>
    <xf numFmtId="0" fontId="5" fillId="0" borderId="0"/>
    <xf numFmtId="170" fontId="5" fillId="0" borderId="0"/>
    <xf numFmtId="171" fontId="5" fillId="0" borderId="0"/>
    <xf numFmtId="171" fontId="5" fillId="0" borderId="0"/>
    <xf numFmtId="0" fontId="122" fillId="0" borderId="0"/>
    <xf numFmtId="170" fontId="122" fillId="0" borderId="0"/>
    <xf numFmtId="171" fontId="122" fillId="0" borderId="0"/>
    <xf numFmtId="171" fontId="122" fillId="0" borderId="0"/>
    <xf numFmtId="0" fontId="122" fillId="0" borderId="0"/>
    <xf numFmtId="170" fontId="122" fillId="0" borderId="0"/>
    <xf numFmtId="171" fontId="122" fillId="0" borderId="0"/>
    <xf numFmtId="171" fontId="122" fillId="0" borderId="0"/>
    <xf numFmtId="0" fontId="5" fillId="0" borderId="0"/>
    <xf numFmtId="170" fontId="5" fillId="0" borderId="0"/>
    <xf numFmtId="0" fontId="5" fillId="0" borderId="0"/>
    <xf numFmtId="9" fontId="5" fillId="0" borderId="0" applyFont="0" applyFill="0" applyBorder="0" applyAlignment="0" applyProtection="0"/>
    <xf numFmtId="9" fontId="21" fillId="0" borderId="0" applyFont="0" applyFill="0" applyBorder="0" applyAlignment="0" applyProtection="0"/>
    <xf numFmtId="44" fontId="5" fillId="0" borderId="0" applyFont="0" applyFill="0" applyBorder="0" applyAlignment="0" applyProtection="0"/>
    <xf numFmtId="0" fontId="101" fillId="0" borderId="0" applyNumberFormat="0" applyFill="0" applyBorder="0" applyAlignment="0" applyProtection="0"/>
    <xf numFmtId="0" fontId="5" fillId="0" borderId="0"/>
    <xf numFmtId="0" fontId="47" fillId="0" borderId="0"/>
    <xf numFmtId="9" fontId="1" fillId="0" borderId="0" applyFont="0" applyFill="0" applyBorder="0" applyAlignment="0" applyProtection="0"/>
    <xf numFmtId="0" fontId="1" fillId="0" borderId="0"/>
    <xf numFmtId="0" fontId="10" fillId="2" borderId="1" applyNumberFormat="0" applyProtection="0"/>
    <xf numFmtId="0" fontId="19" fillId="12" borderId="5" applyNumberFormat="0" applyBorder="0" applyProtection="0"/>
    <xf numFmtId="0" fontId="10" fillId="2" borderId="3" applyNumberForma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cellStyleXfs>
  <cellXfs count="858">
    <xf numFmtId="0" fontId="0" fillId="0" borderId="0" xfId="0"/>
    <xf numFmtId="0" fontId="97" fillId="0" borderId="0" xfId="6" applyFont="1" applyAlignment="1">
      <alignment horizontal="center"/>
    </xf>
    <xf numFmtId="0" fontId="20" fillId="91" borderId="0" xfId="0" applyFont="1" applyFill="1" applyAlignment="1">
      <alignment horizontal="left"/>
    </xf>
    <xf numFmtId="0" fontId="20" fillId="0" borderId="0" xfId="47"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center"/>
    </xf>
    <xf numFmtId="0" fontId="95" fillId="0" borderId="0" xfId="0" applyFont="1" applyAlignment="1">
      <alignment horizontal="center"/>
    </xf>
    <xf numFmtId="0" fontId="94" fillId="0" borderId="0" xfId="0" applyFont="1" applyAlignment="1">
      <alignment horizontal="center"/>
    </xf>
    <xf numFmtId="0" fontId="3" fillId="0" borderId="0" xfId="0" applyFont="1"/>
    <xf numFmtId="0" fontId="2" fillId="0" borderId="0" xfId="0" applyFont="1"/>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left" indent="1"/>
    </xf>
    <xf numFmtId="167" fontId="0" fillId="0" borderId="0" xfId="1" applyNumberFormat="1" applyFont="1"/>
    <xf numFmtId="164" fontId="0" fillId="0" borderId="0" xfId="0" applyNumberFormat="1"/>
    <xf numFmtId="166" fontId="0" fillId="0" borderId="0" xfId="4" applyNumberFormat="1" applyFont="1"/>
    <xf numFmtId="5" fontId="0" fillId="0" borderId="0" xfId="4" applyNumberFormat="1" applyFont="1"/>
    <xf numFmtId="5" fontId="0" fillId="0" borderId="32" xfId="4" applyNumberFormat="1" applyFont="1" applyBorder="1"/>
    <xf numFmtId="5" fontId="2" fillId="0" borderId="0" xfId="4" applyNumberFormat="1" applyFont="1"/>
    <xf numFmtId="6" fontId="2" fillId="0" borderId="0" xfId="0" applyNumberFormat="1" applyFont="1"/>
    <xf numFmtId="5" fontId="0" fillId="0" borderId="32" xfId="4" applyNumberFormat="1" applyFont="1" applyFill="1" applyBorder="1"/>
    <xf numFmtId="0" fontId="20" fillId="0" borderId="0" xfId="0" applyFont="1" applyAlignment="1">
      <alignment horizontal="center"/>
    </xf>
    <xf numFmtId="10" fontId="0" fillId="0" borderId="0" xfId="1" applyNumberFormat="1" applyFont="1"/>
    <xf numFmtId="10" fontId="0" fillId="0" borderId="0" xfId="1" applyNumberFormat="1" applyFont="1" applyFill="1"/>
    <xf numFmtId="0" fontId="0" fillId="0" borderId="0" xfId="0" applyAlignment="1">
      <alignment horizontal="center"/>
    </xf>
    <xf numFmtId="10" fontId="0" fillId="0" borderId="0" xfId="0" applyNumberFormat="1"/>
    <xf numFmtId="5" fontId="0" fillId="0" borderId="0" xfId="4" applyNumberFormat="1" applyFont="1" applyFill="1"/>
    <xf numFmtId="5" fontId="0" fillId="0" borderId="0" xfId="0" applyNumberFormat="1"/>
    <xf numFmtId="10" fontId="0" fillId="0" borderId="32" xfId="1" applyNumberFormat="1" applyFont="1" applyBorder="1"/>
    <xf numFmtId="0" fontId="0" fillId="0" borderId="0" xfId="0" applyAlignment="1">
      <alignment horizontal="left" indent="1"/>
    </xf>
    <xf numFmtId="165" fontId="0" fillId="0" borderId="0" xfId="2" applyNumberFormat="1" applyFont="1"/>
    <xf numFmtId="8" fontId="0" fillId="0" borderId="0" xfId="0" applyNumberFormat="1"/>
    <xf numFmtId="44" fontId="0" fillId="0" borderId="0" xfId="0" applyNumberFormat="1"/>
    <xf numFmtId="166" fontId="0" fillId="0" borderId="0" xfId="4" applyNumberFormat="1" applyFont="1" applyFill="1"/>
    <xf numFmtId="7" fontId="0" fillId="0" borderId="0" xfId="0" applyNumberFormat="1"/>
    <xf numFmtId="10" fontId="0" fillId="0" borderId="32" xfId="0" applyNumberFormat="1" applyBorder="1"/>
    <xf numFmtId="167" fontId="0" fillId="0" borderId="32" xfId="1" applyNumberFormat="1" applyFont="1" applyBorder="1"/>
    <xf numFmtId="0" fontId="23" fillId="0" borderId="0" xfId="0" applyFont="1"/>
    <xf numFmtId="0" fontId="0" fillId="0" borderId="0" xfId="0" applyAlignment="1">
      <alignment wrapText="1"/>
    </xf>
    <xf numFmtId="5" fontId="0" fillId="0" borderId="0" xfId="0" applyNumberFormat="1" applyAlignment="1">
      <alignment horizontal="center"/>
    </xf>
    <xf numFmtId="0" fontId="2" fillId="91" borderId="0" xfId="0" applyFont="1" applyFill="1"/>
    <xf numFmtId="0" fontId="2" fillId="91" borderId="0" xfId="0" applyFont="1" applyFill="1" applyAlignment="1">
      <alignment horizontal="left"/>
    </xf>
    <xf numFmtId="5" fontId="0" fillId="91" borderId="32" xfId="4" applyNumberFormat="1" applyFont="1" applyFill="1" applyBorder="1"/>
    <xf numFmtId="0" fontId="0" fillId="91" borderId="0" xfId="0" applyFill="1"/>
    <xf numFmtId="10" fontId="0" fillId="91" borderId="0" xfId="1" applyNumberFormat="1" applyFont="1" applyFill="1"/>
    <xf numFmtId="5" fontId="0" fillId="91" borderId="0" xfId="4" applyNumberFormat="1" applyFont="1" applyFill="1"/>
    <xf numFmtId="0" fontId="2" fillId="92" borderId="0" xfId="0" applyFont="1" applyFill="1" applyAlignment="1">
      <alignment horizontal="left"/>
    </xf>
    <xf numFmtId="0" fontId="0" fillId="92" borderId="0" xfId="0" applyFill="1" applyAlignment="1">
      <alignment horizontal="left"/>
    </xf>
    <xf numFmtId="0" fontId="0" fillId="92" borderId="0" xfId="0" applyFill="1"/>
    <xf numFmtId="0" fontId="0" fillId="91" borderId="32" xfId="0" applyFill="1" applyBorder="1" applyAlignment="1">
      <alignment horizontal="center"/>
    </xf>
    <xf numFmtId="0" fontId="0" fillId="91" borderId="0" xfId="0" applyFill="1" applyAlignment="1">
      <alignment horizontal="center"/>
    </xf>
    <xf numFmtId="0" fontId="2" fillId="92" borderId="0" xfId="0" applyFont="1" applyFill="1"/>
    <xf numFmtId="7" fontId="0" fillId="92" borderId="0" xfId="0" applyNumberFormat="1" applyFill="1"/>
    <xf numFmtId="164" fontId="0" fillId="92" borderId="0" xfId="0" applyNumberFormat="1" applyFill="1"/>
    <xf numFmtId="7" fontId="2" fillId="0" borderId="0" xfId="0" applyNumberFormat="1" applyFont="1" applyAlignment="1">
      <alignment horizontal="center"/>
    </xf>
    <xf numFmtId="7" fontId="4" fillId="0" borderId="0" xfId="0" applyNumberFormat="1" applyFont="1" applyAlignment="1">
      <alignment horizontal="center"/>
    </xf>
    <xf numFmtId="7" fontId="0" fillId="91" borderId="0" xfId="0" applyNumberFormat="1" applyFill="1" applyAlignment="1">
      <alignment horizontal="center"/>
    </xf>
    <xf numFmtId="9" fontId="0" fillId="0" borderId="0" xfId="0" applyNumberFormat="1"/>
    <xf numFmtId="164" fontId="2" fillId="0" borderId="0" xfId="0" applyNumberFormat="1" applyFont="1" applyAlignment="1">
      <alignment horizontal="center"/>
    </xf>
    <xf numFmtId="10" fontId="0" fillId="0" borderId="0" xfId="0" applyNumberFormat="1" applyAlignment="1">
      <alignment horizontal="center"/>
    </xf>
    <xf numFmtId="193" fontId="0" fillId="0" borderId="0" xfId="0" applyNumberFormat="1"/>
    <xf numFmtId="0" fontId="93" fillId="0" borderId="0" xfId="0" applyFont="1"/>
    <xf numFmtId="5" fontId="2" fillId="0" borderId="0" xfId="4" applyNumberFormat="1" applyFont="1" applyFill="1"/>
    <xf numFmtId="0" fontId="20" fillId="0" borderId="0" xfId="47" applyFont="1"/>
    <xf numFmtId="0" fontId="23" fillId="0" borderId="0" xfId="47" applyFont="1"/>
    <xf numFmtId="0" fontId="96" fillId="0" borderId="0" xfId="47" applyFont="1"/>
    <xf numFmtId="0" fontId="33" fillId="0" borderId="0" xfId="47" applyFont="1" applyAlignment="1">
      <alignment horizontal="left"/>
    </xf>
    <xf numFmtId="17" fontId="33" fillId="0" borderId="0" xfId="47" quotePrefix="1" applyNumberFormat="1" applyFont="1" applyAlignment="1">
      <alignment horizontal="center"/>
    </xf>
    <xf numFmtId="0" fontId="33" fillId="0" borderId="0" xfId="47" quotePrefix="1" applyFont="1" applyAlignment="1">
      <alignment horizontal="center"/>
    </xf>
    <xf numFmtId="0" fontId="20" fillId="0" borderId="0" xfId="47" quotePrefix="1" applyFont="1" applyAlignment="1">
      <alignment horizontal="center"/>
    </xf>
    <xf numFmtId="0" fontId="97" fillId="0" borderId="0" xfId="47" applyFont="1" applyAlignment="1">
      <alignment horizontal="center"/>
    </xf>
    <xf numFmtId="42" fontId="0" fillId="0" borderId="0" xfId="4" applyNumberFormat="1" applyFont="1"/>
    <xf numFmtId="0" fontId="20" fillId="0" borderId="0" xfId="47" applyFont="1" applyAlignment="1">
      <alignment horizontal="left" indent="1"/>
    </xf>
    <xf numFmtId="164" fontId="33" fillId="0" borderId="0" xfId="47" applyNumberFormat="1" applyFont="1"/>
    <xf numFmtId="164" fontId="33" fillId="0" borderId="0" xfId="47" applyNumberFormat="1" applyFont="1" applyAlignment="1">
      <alignment horizontal="center"/>
    </xf>
    <xf numFmtId="164" fontId="20" fillId="0" borderId="0" xfId="47" applyNumberFormat="1" applyFont="1"/>
    <xf numFmtId="10" fontId="33" fillId="0" borderId="0" xfId="78" applyNumberFormat="1" applyFont="1" applyFill="1" applyBorder="1"/>
    <xf numFmtId="9" fontId="33" fillId="0" borderId="0" xfId="1" applyFont="1" applyFill="1" applyBorder="1"/>
    <xf numFmtId="164" fontId="23" fillId="0" borderId="0" xfId="47" applyNumberFormat="1" applyFont="1"/>
    <xf numFmtId="10" fontId="20" fillId="0" borderId="0" xfId="78" applyNumberFormat="1" applyFont="1" applyFill="1" applyBorder="1"/>
    <xf numFmtId="42" fontId="20" fillId="0" borderId="0" xfId="47" applyNumberFormat="1" applyFont="1"/>
    <xf numFmtId="3" fontId="20" fillId="0" borderId="0" xfId="47" applyNumberFormat="1" applyFont="1"/>
    <xf numFmtId="0" fontId="98" fillId="0" borderId="0" xfId="47" applyFont="1"/>
    <xf numFmtId="0" fontId="20" fillId="0" borderId="0" xfId="47" quotePrefix="1" applyFont="1"/>
    <xf numFmtId="0" fontId="97" fillId="0" borderId="0" xfId="47" applyFont="1"/>
    <xf numFmtId="0" fontId="20" fillId="91" borderId="0" xfId="47" applyFont="1" applyFill="1"/>
    <xf numFmtId="0" fontId="98" fillId="0" borderId="0" xfId="47" quotePrefix="1" applyFont="1" applyAlignment="1">
      <alignment horizontal="center"/>
    </xf>
    <xf numFmtId="0" fontId="20" fillId="0" borderId="0" xfId="47" applyFont="1" applyAlignment="1">
      <alignment horizontal="right"/>
    </xf>
    <xf numFmtId="17" fontId="20" fillId="0" borderId="0" xfId="47" quotePrefix="1" applyNumberFormat="1" applyFont="1" applyAlignment="1">
      <alignment horizontal="center"/>
    </xf>
    <xf numFmtId="0" fontId="98" fillId="0" borderId="0" xfId="47" applyFont="1" applyAlignment="1">
      <alignment horizontal="center"/>
    </xf>
    <xf numFmtId="0" fontId="98" fillId="0" borderId="0" xfId="47" applyFont="1" applyAlignment="1">
      <alignment horizontal="left"/>
    </xf>
    <xf numFmtId="164" fontId="20" fillId="0" borderId="0" xfId="47" quotePrefix="1" applyNumberFormat="1" applyFont="1" applyAlignment="1">
      <alignment horizontal="center"/>
    </xf>
    <xf numFmtId="0" fontId="97" fillId="0" borderId="0" xfId="47" applyFont="1" applyAlignment="1">
      <alignment horizontal="left"/>
    </xf>
    <xf numFmtId="2" fontId="20" fillId="0" borderId="0" xfId="0" applyNumberFormat="1" applyFont="1"/>
    <xf numFmtId="2" fontId="97" fillId="0" borderId="0" xfId="0" applyNumberFormat="1" applyFont="1"/>
    <xf numFmtId="2" fontId="20" fillId="0" borderId="0" xfId="0" applyNumberFormat="1" applyFont="1" applyAlignment="1">
      <alignment horizontal="center"/>
    </xf>
    <xf numFmtId="2" fontId="20" fillId="0" borderId="0" xfId="0" applyNumberFormat="1" applyFont="1" applyAlignment="1">
      <alignment horizontal="left"/>
    </xf>
    <xf numFmtId="194" fontId="20" fillId="0" borderId="0" xfId="0" applyNumberFormat="1" applyFont="1"/>
    <xf numFmtId="2" fontId="20" fillId="0" borderId="0" xfId="0" applyNumberFormat="1" applyFont="1" applyAlignment="1">
      <alignment horizontal="left" wrapText="1"/>
    </xf>
    <xf numFmtId="1" fontId="97" fillId="0" borderId="0" xfId="0" applyNumberFormat="1" applyFont="1" applyAlignment="1">
      <alignment horizontal="center"/>
    </xf>
    <xf numFmtId="2" fontId="96" fillId="0" borderId="0" xfId="0" applyNumberFormat="1" applyFont="1" applyAlignment="1">
      <alignment horizontal="left"/>
    </xf>
    <xf numFmtId="164" fontId="20" fillId="0" borderId="0" xfId="0" applyNumberFormat="1" applyFont="1" applyAlignment="1">
      <alignment horizontal="right"/>
    </xf>
    <xf numFmtId="2" fontId="23" fillId="0" borderId="0" xfId="0" applyNumberFormat="1" applyFont="1" applyAlignment="1">
      <alignment horizontal="center"/>
    </xf>
    <xf numFmtId="195" fontId="20" fillId="0" borderId="0" xfId="0" applyNumberFormat="1" applyFont="1" applyAlignment="1">
      <alignment horizontal="right"/>
    </xf>
    <xf numFmtId="2" fontId="20" fillId="0" borderId="0" xfId="0" quotePrefix="1" applyNumberFormat="1" applyFont="1" applyAlignment="1">
      <alignment horizontal="center"/>
    </xf>
    <xf numFmtId="165" fontId="20" fillId="0" borderId="0" xfId="2" applyNumberFormat="1" applyFont="1" applyFill="1" applyAlignment="1" applyProtection="1">
      <alignment horizontal="left"/>
    </xf>
    <xf numFmtId="165" fontId="20" fillId="0" borderId="0" xfId="2" applyNumberFormat="1" applyFont="1" applyFill="1"/>
    <xf numFmtId="164" fontId="20" fillId="0" borderId="0" xfId="0" applyNumberFormat="1" applyFont="1" applyAlignment="1">
      <alignment horizontal="center"/>
    </xf>
    <xf numFmtId="2" fontId="97" fillId="0" borderId="0" xfId="0" applyNumberFormat="1" applyFont="1" applyAlignment="1">
      <alignment horizontal="right"/>
    </xf>
    <xf numFmtId="0" fontId="96" fillId="0" borderId="0" xfId="0" applyFont="1"/>
    <xf numFmtId="194" fontId="20" fillId="0" borderId="0" xfId="0" applyNumberFormat="1" applyFont="1" applyAlignment="1">
      <alignment horizontal="center"/>
    </xf>
    <xf numFmtId="0" fontId="97" fillId="91" borderId="0" xfId="0" applyFont="1" applyFill="1"/>
    <xf numFmtId="0" fontId="97" fillId="92" borderId="0" xfId="0" applyFont="1" applyFill="1"/>
    <xf numFmtId="0" fontId="98" fillId="0" borderId="0" xfId="0" applyFont="1" applyAlignment="1">
      <alignment horizontal="center"/>
    </xf>
    <xf numFmtId="0" fontId="0" fillId="0" borderId="0" xfId="0" applyAlignment="1">
      <alignment horizontal="right"/>
    </xf>
    <xf numFmtId="42" fontId="0" fillId="0" borderId="0" xfId="0" applyNumberFormat="1"/>
    <xf numFmtId="0" fontId="98" fillId="0" borderId="0" xfId="0" quotePrefix="1" applyFont="1" applyAlignment="1">
      <alignment horizontal="center"/>
    </xf>
    <xf numFmtId="0" fontId="97" fillId="0" borderId="0" xfId="0" quotePrefix="1" applyFont="1" applyAlignment="1">
      <alignment horizontal="center"/>
    </xf>
    <xf numFmtId="0" fontId="97" fillId="0" borderId="0" xfId="0" quotePrefix="1" applyFont="1"/>
    <xf numFmtId="0" fontId="97" fillId="0" borderId="8" xfId="0" applyFont="1" applyBorder="1" applyAlignment="1">
      <alignment horizontal="center" vertical="center" wrapText="1"/>
    </xf>
    <xf numFmtId="0" fontId="20" fillId="91" borderId="0" xfId="0" applyFont="1" applyFill="1" applyAlignment="1">
      <alignment horizontal="center"/>
    </xf>
    <xf numFmtId="195" fontId="20" fillId="91" borderId="0" xfId="1" applyNumberFormat="1" applyFont="1" applyFill="1" applyAlignment="1">
      <alignment horizontal="center"/>
    </xf>
    <xf numFmtId="196" fontId="20" fillId="91" borderId="0" xfId="1" applyNumberFormat="1" applyFont="1" applyFill="1" applyAlignment="1">
      <alignment horizontal="center"/>
    </xf>
    <xf numFmtId="166" fontId="0" fillId="91" borderId="0" xfId="4" applyNumberFormat="1" applyFont="1" applyFill="1"/>
    <xf numFmtId="0" fontId="97" fillId="0" borderId="0" xfId="0" applyFont="1" applyAlignment="1">
      <alignment horizontal="right"/>
    </xf>
    <xf numFmtId="0" fontId="97" fillId="0" borderId="0" xfId="0" applyFont="1" applyAlignment="1">
      <alignment horizontal="center"/>
    </xf>
    <xf numFmtId="0" fontId="99" fillId="0" borderId="0" xfId="0" applyFont="1" applyAlignment="1">
      <alignment horizontal="left"/>
    </xf>
    <xf numFmtId="10" fontId="20" fillId="91" borderId="0" xfId="1" applyNumberFormat="1" applyFont="1" applyFill="1" applyAlignment="1">
      <alignment horizontal="left" indent="1"/>
    </xf>
    <xf numFmtId="14" fontId="0" fillId="91" borderId="0" xfId="0" applyNumberFormat="1" applyFill="1"/>
    <xf numFmtId="164" fontId="0" fillId="91" borderId="0" xfId="0" applyNumberFormat="1" applyFill="1"/>
    <xf numFmtId="164" fontId="23" fillId="91" borderId="0" xfId="0" applyNumberFormat="1" applyFont="1" applyFill="1"/>
    <xf numFmtId="0" fontId="20" fillId="91" borderId="0" xfId="0" applyFont="1" applyFill="1" applyAlignment="1">
      <alignment horizontal="left" indent="1"/>
    </xf>
    <xf numFmtId="0" fontId="20" fillId="91" borderId="0" xfId="0" quotePrefix="1" applyFont="1" applyFill="1" applyAlignment="1">
      <alignment horizontal="left"/>
    </xf>
    <xf numFmtId="0" fontId="20" fillId="91" borderId="0" xfId="0" quotePrefix="1" applyFont="1" applyFill="1" applyAlignment="1">
      <alignment horizontal="center"/>
    </xf>
    <xf numFmtId="0" fontId="20" fillId="0" borderId="0" xfId="0" quotePrefix="1" applyFont="1" applyAlignment="1">
      <alignment horizontal="center"/>
    </xf>
    <xf numFmtId="0" fontId="0" fillId="0" borderId="0" xfId="48" applyFont="1"/>
    <xf numFmtId="0" fontId="97" fillId="0" borderId="0" xfId="0" applyFont="1"/>
    <xf numFmtId="0" fontId="2" fillId="0" borderId="0" xfId="0" applyFont="1" applyAlignment="1">
      <alignment vertical="center"/>
    </xf>
    <xf numFmtId="0" fontId="20" fillId="92" borderId="0" xfId="0" applyFont="1" applyFill="1"/>
    <xf numFmtId="0" fontId="20" fillId="92" borderId="0" xfId="0" applyFont="1" applyFill="1" applyAlignment="1">
      <alignment horizontal="center"/>
    </xf>
    <xf numFmtId="0" fontId="20" fillId="0" borderId="0" xfId="0" quotePrefix="1" applyFont="1" applyAlignment="1">
      <alignment horizontal="center" wrapText="1"/>
    </xf>
    <xf numFmtId="166" fontId="20" fillId="0" borderId="0" xfId="8" applyNumberFormat="1" applyFont="1" applyFill="1" applyBorder="1" applyAlignment="1">
      <alignment horizontal="left"/>
    </xf>
    <xf numFmtId="42" fontId="20" fillId="0" borderId="0" xfId="0" applyNumberFormat="1" applyFont="1"/>
    <xf numFmtId="0" fontId="20" fillId="0" borderId="0" xfId="0" applyFont="1" applyAlignment="1">
      <alignment horizontal="center" wrapText="1"/>
    </xf>
    <xf numFmtId="17" fontId="20" fillId="0" borderId="0" xfId="6" quotePrefix="1" applyNumberFormat="1" applyFont="1" applyAlignment="1">
      <alignment horizontal="left"/>
    </xf>
    <xf numFmtId="0" fontId="2" fillId="0" borderId="0" xfId="0" quotePrefix="1" applyFont="1" applyAlignment="1">
      <alignment horizontal="center"/>
    </xf>
    <xf numFmtId="0" fontId="20" fillId="0" borderId="0" xfId="47" applyFont="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20" fillId="0" borderId="0" xfId="6" quotePrefix="1" applyFont="1" applyAlignment="1">
      <alignment horizontal="center"/>
    </xf>
    <xf numFmtId="1" fontId="20" fillId="0" borderId="0" xfId="6" quotePrefix="1" applyNumberFormat="1" applyFont="1" applyAlignment="1">
      <alignment horizontal="center"/>
    </xf>
    <xf numFmtId="165" fontId="0" fillId="0" borderId="0" xfId="0" applyNumberFormat="1"/>
    <xf numFmtId="166" fontId="0" fillId="0" borderId="0" xfId="0" applyNumberFormat="1"/>
    <xf numFmtId="17" fontId="20" fillId="0" borderId="32" xfId="6" quotePrefix="1" applyNumberFormat="1" applyFont="1" applyBorder="1" applyAlignment="1">
      <alignment horizontal="left"/>
    </xf>
    <xf numFmtId="1" fontId="20" fillId="0" borderId="32" xfId="6" quotePrefix="1" applyNumberFormat="1" applyFont="1" applyBorder="1" applyAlignment="1">
      <alignment horizontal="center"/>
    </xf>
    <xf numFmtId="0" fontId="20" fillId="0" borderId="0" xfId="6" quotePrefix="1" applyFont="1" applyAlignment="1">
      <alignment horizontal="left"/>
    </xf>
    <xf numFmtId="0" fontId="0" fillId="0" borderId="0" xfId="0" applyAlignment="1">
      <alignment horizontal="center" vertical="center"/>
    </xf>
    <xf numFmtId="0" fontId="98" fillId="0" borderId="0" xfId="0" quotePrefix="1" applyFont="1" applyAlignment="1">
      <alignment horizontal="center" wrapText="1"/>
    </xf>
    <xf numFmtId="164" fontId="20" fillId="0" borderId="0" xfId="0" applyNumberFormat="1" applyFont="1"/>
    <xf numFmtId="164" fontId="3" fillId="0" borderId="0" xfId="0" applyNumberFormat="1" applyFont="1"/>
    <xf numFmtId="0" fontId="20" fillId="0" borderId="0" xfId="0" quotePrefix="1" applyFont="1" applyAlignment="1">
      <alignment horizontal="center" vertical="center"/>
    </xf>
    <xf numFmtId="0" fontId="2" fillId="0" borderId="0" xfId="0" applyFont="1" applyAlignment="1">
      <alignment horizontal="center" wrapText="1"/>
    </xf>
    <xf numFmtId="0" fontId="4" fillId="0" borderId="0" xfId="0" applyFont="1" applyAlignment="1">
      <alignment horizontal="center" wrapText="1"/>
    </xf>
    <xf numFmtId="0" fontId="97" fillId="0" borderId="0" xfId="6" quotePrefix="1" applyFont="1" applyAlignment="1">
      <alignment horizontal="left"/>
    </xf>
    <xf numFmtId="0" fontId="20" fillId="0" borderId="0" xfId="47" applyFont="1" applyAlignment="1">
      <alignment horizontal="center"/>
    </xf>
    <xf numFmtId="0" fontId="97" fillId="92" borderId="0" xfId="47" applyFont="1" applyFill="1" applyAlignment="1">
      <alignment horizontal="left"/>
    </xf>
    <xf numFmtId="0" fontId="20" fillId="92" borderId="0" xfId="47" applyFont="1" applyFill="1"/>
    <xf numFmtId="0" fontId="20" fillId="92" borderId="0" xfId="47" applyFont="1" applyFill="1" applyAlignment="1">
      <alignment horizontal="center"/>
    </xf>
    <xf numFmtId="0" fontId="98" fillId="0" borderId="0" xfId="6" quotePrefix="1" applyFont="1" applyAlignment="1">
      <alignment horizontal="center"/>
    </xf>
    <xf numFmtId="0" fontId="20" fillId="0" borderId="0" xfId="6" quotePrefix="1" applyFont="1" applyAlignment="1">
      <alignment horizontal="center" wrapText="1"/>
    </xf>
    <xf numFmtId="0" fontId="20" fillId="0" borderId="0" xfId="6" applyFont="1"/>
    <xf numFmtId="0" fontId="97" fillId="0" borderId="0" xfId="6" applyFont="1"/>
    <xf numFmtId="0" fontId="98" fillId="0" borderId="0" xfId="6" applyFont="1"/>
    <xf numFmtId="0" fontId="97" fillId="92" borderId="0" xfId="6" applyFont="1" applyFill="1"/>
    <xf numFmtId="0" fontId="20" fillId="92" borderId="0" xfId="6" applyFont="1" applyFill="1"/>
    <xf numFmtId="0" fontId="20" fillId="0" borderId="0" xfId="6" applyFont="1" applyAlignment="1">
      <alignment horizontal="left"/>
    </xf>
    <xf numFmtId="0" fontId="98" fillId="0" borderId="0" xfId="6" applyFont="1" applyAlignment="1">
      <alignment horizontal="center"/>
    </xf>
    <xf numFmtId="164" fontId="20" fillId="0" borderId="0" xfId="6" applyNumberFormat="1" applyFont="1"/>
    <xf numFmtId="0" fontId="20" fillId="0" borderId="0" xfId="6" applyFont="1" applyAlignment="1">
      <alignment horizontal="center"/>
    </xf>
    <xf numFmtId="0" fontId="20" fillId="0" borderId="32" xfId="6" applyFont="1" applyBorder="1"/>
    <xf numFmtId="0" fontId="20" fillId="0" borderId="32" xfId="6" applyFont="1" applyBorder="1" applyAlignment="1">
      <alignment horizontal="center"/>
    </xf>
    <xf numFmtId="10" fontId="0" fillId="92" borderId="0" xfId="1" applyNumberFormat="1" applyFont="1" applyFill="1"/>
    <xf numFmtId="0" fontId="20" fillId="0" borderId="0" xfId="6" quotePrefix="1" applyFont="1" applyAlignment="1">
      <alignment horizontal="center" vertical="center" wrapText="1"/>
    </xf>
    <xf numFmtId="0" fontId="20" fillId="0" borderId="32" xfId="6" applyFont="1" applyBorder="1" applyAlignment="1">
      <alignment horizontal="left"/>
    </xf>
    <xf numFmtId="0" fontId="20" fillId="0" borderId="0" xfId="6" applyFont="1" applyAlignment="1">
      <alignment horizontal="right" indent="1"/>
    </xf>
    <xf numFmtId="0" fontId="20" fillId="92" borderId="0" xfId="6" applyFont="1" applyFill="1" applyAlignment="1">
      <alignment horizontal="right" indent="1"/>
    </xf>
    <xf numFmtId="10" fontId="20" fillId="0" borderId="0" xfId="6" applyNumberFormat="1" applyFont="1"/>
    <xf numFmtId="166" fontId="20" fillId="0" borderId="0" xfId="6" applyNumberFormat="1" applyFont="1"/>
    <xf numFmtId="166" fontId="0" fillId="0" borderId="0" xfId="8" applyNumberFormat="1" applyFont="1"/>
    <xf numFmtId="0" fontId="20" fillId="0" borderId="0" xfId="6" applyFont="1" applyAlignment="1">
      <alignment horizontal="right"/>
    </xf>
    <xf numFmtId="166" fontId="20" fillId="0" borderId="0" xfId="8" applyNumberFormat="1" applyFont="1" applyFill="1" applyBorder="1" applyAlignment="1">
      <alignment horizontal="center" vertical="center" wrapText="1"/>
    </xf>
    <xf numFmtId="5" fontId="20" fillId="0" borderId="0" xfId="8" applyNumberFormat="1" applyFont="1"/>
    <xf numFmtId="5" fontId="20" fillId="0" borderId="0" xfId="8" applyNumberFormat="1" applyFont="1" applyFill="1"/>
    <xf numFmtId="5" fontId="97" fillId="0" borderId="0" xfId="8" applyNumberFormat="1" applyFont="1" applyFill="1"/>
    <xf numFmtId="10" fontId="97" fillId="0" borderId="0" xfId="1" applyNumberFormat="1" applyFont="1" applyFill="1"/>
    <xf numFmtId="0" fontId="97" fillId="0" borderId="0" xfId="0" applyFont="1" applyAlignment="1">
      <alignment horizontal="left"/>
    </xf>
    <xf numFmtId="165" fontId="0" fillId="0" borderId="32" xfId="9" applyNumberFormat="1" applyFont="1" applyFill="1" applyBorder="1"/>
    <xf numFmtId="166" fontId="0" fillId="0" borderId="0" xfId="9" applyNumberFormat="1" applyFont="1" applyFill="1" applyBorder="1"/>
    <xf numFmtId="166" fontId="0" fillId="0" borderId="0" xfId="9" applyNumberFormat="1" applyFont="1" applyFill="1"/>
    <xf numFmtId="17" fontId="97" fillId="92" borderId="0" xfId="6" quotePrefix="1" applyNumberFormat="1" applyFont="1" applyFill="1" applyAlignment="1">
      <alignment horizontal="left"/>
    </xf>
    <xf numFmtId="0" fontId="98" fillId="0" borderId="0" xfId="0" applyFont="1"/>
    <xf numFmtId="164" fontId="20" fillId="0" borderId="0" xfId="0" quotePrefix="1" applyNumberFormat="1" applyFont="1" applyAlignment="1">
      <alignment horizontal="right"/>
    </xf>
    <xf numFmtId="42" fontId="20" fillId="0" borderId="0" xfId="0" quotePrefix="1" applyNumberFormat="1" applyFont="1" applyAlignment="1">
      <alignment horizontal="center"/>
    </xf>
    <xf numFmtId="5" fontId="20" fillId="0" borderId="0" xfId="0" quotePrefix="1" applyNumberFormat="1" applyFont="1" applyAlignment="1">
      <alignment horizontal="center"/>
    </xf>
    <xf numFmtId="5" fontId="96" fillId="0" borderId="0" xfId="0" quotePrefix="1" applyNumberFormat="1" applyFont="1" applyAlignment="1">
      <alignment horizontal="center"/>
    </xf>
    <xf numFmtId="164" fontId="20" fillId="0" borderId="0" xfId="0" quotePrefix="1" applyNumberFormat="1" applyFont="1" applyAlignment="1">
      <alignment horizontal="center"/>
    </xf>
    <xf numFmtId="164" fontId="96" fillId="0" borderId="0" xfId="0" quotePrefix="1" applyNumberFormat="1" applyFont="1" applyAlignment="1">
      <alignment horizontal="center"/>
    </xf>
    <xf numFmtId="168" fontId="20" fillId="0" borderId="0" xfId="0" quotePrefix="1" applyNumberFormat="1" applyFont="1" applyAlignment="1">
      <alignment horizontal="right"/>
    </xf>
    <xf numFmtId="10" fontId="20" fillId="0" borderId="0" xfId="0" applyNumberFormat="1" applyFont="1"/>
    <xf numFmtId="164" fontId="96" fillId="0" borderId="0" xfId="0" applyNumberFormat="1" applyFont="1"/>
    <xf numFmtId="0" fontId="100" fillId="0" borderId="0" xfId="0" applyFont="1" applyAlignment="1">
      <alignment horizontal="left" vertical="center"/>
    </xf>
    <xf numFmtId="0" fontId="20" fillId="0" borderId="0" xfId="0" quotePrefix="1" applyFont="1" applyAlignment="1">
      <alignment horizontal="left"/>
    </xf>
    <xf numFmtId="0" fontId="0" fillId="92" borderId="0" xfId="0" applyFill="1" applyAlignment="1">
      <alignment horizontal="center"/>
    </xf>
    <xf numFmtId="0" fontId="2" fillId="92" borderId="0" xfId="0" quotePrefix="1" applyFont="1" applyFill="1" applyAlignment="1">
      <alignment horizontal="center"/>
    </xf>
    <xf numFmtId="166" fontId="20" fillId="0" borderId="0" xfId="0" applyNumberFormat="1" applyFont="1" applyAlignment="1">
      <alignment horizontal="center"/>
    </xf>
    <xf numFmtId="0" fontId="20" fillId="0" borderId="32" xfId="0" applyFont="1" applyBorder="1"/>
    <xf numFmtId="166" fontId="97" fillId="0" borderId="0" xfId="0" applyNumberFormat="1" applyFont="1"/>
    <xf numFmtId="0" fontId="0" fillId="0" borderId="0" xfId="0" applyAlignment="1">
      <alignment vertical="center"/>
    </xf>
    <xf numFmtId="0" fontId="20" fillId="0" borderId="0" xfId="0" applyFont="1" applyAlignment="1">
      <alignment vertical="center"/>
    </xf>
    <xf numFmtId="0" fontId="101" fillId="0" borderId="0" xfId="0" applyFont="1" applyAlignment="1">
      <alignment horizontal="center" wrapText="1"/>
    </xf>
    <xf numFmtId="37" fontId="122" fillId="0" borderId="0" xfId="49" applyNumberFormat="1" applyAlignment="1">
      <alignment horizontal="right"/>
    </xf>
    <xf numFmtId="164" fontId="2" fillId="0" borderId="0" xfId="0" applyNumberFormat="1" applyFont="1"/>
    <xf numFmtId="0" fontId="97" fillId="92" borderId="0" xfId="6" applyFont="1" applyFill="1" applyAlignment="1">
      <alignment horizontal="left"/>
    </xf>
    <xf numFmtId="10" fontId="20" fillId="0" borderId="0" xfId="1" applyNumberFormat="1" applyFont="1" applyFill="1" applyBorder="1"/>
    <xf numFmtId="166" fontId="20" fillId="0" borderId="0" xfId="8" applyNumberFormat="1" applyFont="1" applyFill="1" applyBorder="1"/>
    <xf numFmtId="166" fontId="0" fillId="0" borderId="0" xfId="8" applyNumberFormat="1" applyFont="1" applyFill="1" applyBorder="1" applyAlignment="1">
      <alignment horizontal="right"/>
    </xf>
    <xf numFmtId="166" fontId="0" fillId="0" borderId="0" xfId="8" applyNumberFormat="1" applyFont="1" applyFill="1" applyBorder="1"/>
    <xf numFmtId="0" fontId="20" fillId="0" borderId="32" xfId="0" applyFont="1" applyBorder="1" applyAlignment="1">
      <alignment horizontal="left"/>
    </xf>
    <xf numFmtId="0" fontId="0" fillId="0" borderId="32" xfId="0" applyBorder="1"/>
    <xf numFmtId="39" fontId="0" fillId="0" borderId="0" xfId="8" applyNumberFormat="1" applyFont="1" applyFill="1"/>
    <xf numFmtId="39" fontId="0" fillId="0" borderId="0" xfId="0" applyNumberFormat="1"/>
    <xf numFmtId="166" fontId="2" fillId="0" borderId="0" xfId="8" applyNumberFormat="1" applyFont="1"/>
    <xf numFmtId="166" fontId="2" fillId="0" borderId="0" xfId="8" applyNumberFormat="1" applyFont="1" applyFill="1"/>
    <xf numFmtId="10" fontId="2" fillId="0" borderId="0" xfId="1" applyNumberFormat="1" applyFont="1" applyFill="1"/>
    <xf numFmtId="39" fontId="0" fillId="0" borderId="0" xfId="8" applyNumberFormat="1" applyFont="1"/>
    <xf numFmtId="37" fontId="0" fillId="0" borderId="0" xfId="0" applyNumberFormat="1"/>
    <xf numFmtId="37" fontId="0" fillId="0" borderId="0" xfId="0" applyNumberFormat="1" applyAlignment="1">
      <alignment horizontal="center"/>
    </xf>
    <xf numFmtId="0" fontId="2" fillId="0" borderId="32" xfId="0" applyFont="1" applyBorder="1" applyAlignment="1">
      <alignment horizontal="center"/>
    </xf>
    <xf numFmtId="166" fontId="20" fillId="0" borderId="0" xfId="8" applyNumberFormat="1" applyFont="1" applyFill="1" applyBorder="1" applyAlignment="1">
      <alignment horizontal="right"/>
    </xf>
    <xf numFmtId="166" fontId="20" fillId="0" borderId="0" xfId="11" applyNumberFormat="1" applyFont="1" applyAlignment="1">
      <alignment horizontal="right"/>
    </xf>
    <xf numFmtId="0" fontId="20" fillId="0" borderId="0" xfId="0" applyFont="1" applyAlignment="1">
      <alignment horizontal="center" vertical="center" wrapText="1"/>
    </xf>
    <xf numFmtId="166" fontId="20" fillId="0" borderId="0" xfId="11" applyNumberFormat="1" applyFont="1" applyAlignment="1">
      <alignment horizontal="center" vertical="center" wrapText="1"/>
    </xf>
    <xf numFmtId="3" fontId="20" fillId="0" borderId="0" xfId="11" applyNumberFormat="1" applyFont="1" applyAlignment="1">
      <alignment horizontal="center"/>
    </xf>
    <xf numFmtId="10" fontId="20" fillId="0" borderId="0" xfId="1" applyNumberFormat="1" applyFont="1" applyAlignment="1">
      <alignment horizontal="center"/>
    </xf>
    <xf numFmtId="0" fontId="97" fillId="0" borderId="0" xfId="11" applyFont="1" applyAlignment="1">
      <alignment horizontal="center"/>
    </xf>
    <xf numFmtId="0" fontId="20" fillId="0" borderId="0" xfId="11" applyFont="1" applyAlignment="1">
      <alignment horizontal="left"/>
    </xf>
    <xf numFmtId="0" fontId="20" fillId="0" borderId="0" xfId="11" applyFont="1"/>
    <xf numFmtId="0" fontId="98" fillId="0" borderId="0" xfId="0" applyFont="1" applyAlignment="1">
      <alignment horizontal="center" wrapText="1"/>
    </xf>
    <xf numFmtId="0" fontId="98" fillId="0" borderId="0" xfId="11" applyFont="1" applyAlignment="1">
      <alignment horizontal="center" wrapText="1"/>
    </xf>
    <xf numFmtId="1" fontId="20" fillId="0" borderId="0" xfId="11" applyNumberFormat="1" applyFont="1" applyAlignment="1">
      <alignment horizontal="center"/>
    </xf>
    <xf numFmtId="0" fontId="20" fillId="0" borderId="32" xfId="11" applyFont="1" applyBorder="1" applyAlignment="1">
      <alignment horizontal="left"/>
    </xf>
    <xf numFmtId="1" fontId="20" fillId="0" borderId="32" xfId="11" applyNumberFormat="1" applyFont="1" applyBorder="1" applyAlignment="1">
      <alignment horizontal="center"/>
    </xf>
    <xf numFmtId="0" fontId="97" fillId="0" borderId="0" xfId="11" applyFont="1" applyAlignment="1">
      <alignment horizontal="left"/>
    </xf>
    <xf numFmtId="0" fontId="0" fillId="0" borderId="0" xfId="0" applyAlignment="1">
      <alignment vertical="center" wrapText="1"/>
    </xf>
    <xf numFmtId="3" fontId="20" fillId="0" borderId="0" xfId="6" applyNumberFormat="1" applyFont="1" applyAlignment="1">
      <alignment horizontal="left" indent="1"/>
    </xf>
    <xf numFmtId="166" fontId="97" fillId="0" borderId="0" xfId="8" applyNumberFormat="1" applyFont="1" applyFill="1" applyBorder="1" applyAlignment="1">
      <alignment horizontal="center" wrapText="1"/>
    </xf>
    <xf numFmtId="166" fontId="98" fillId="0" borderId="0" xfId="0" applyNumberFormat="1" applyFont="1" applyAlignment="1">
      <alignment horizontal="center" wrapText="1"/>
    </xf>
    <xf numFmtId="166" fontId="1" fillId="0" borderId="0" xfId="4" applyNumberFormat="1" applyFont="1" applyFill="1"/>
    <xf numFmtId="166" fontId="5" fillId="0" borderId="0" xfId="4" applyNumberFormat="1" applyFont="1" applyFill="1" applyBorder="1" applyAlignment="1">
      <alignment horizontal="left" indent="1"/>
    </xf>
    <xf numFmtId="166" fontId="1" fillId="0" borderId="0" xfId="4" applyNumberFormat="1" applyFont="1"/>
    <xf numFmtId="166" fontId="20" fillId="0" borderId="0" xfId="4" applyNumberFormat="1" applyFont="1" applyFill="1" applyBorder="1" applyAlignment="1">
      <alignment horizontal="left" indent="1"/>
    </xf>
    <xf numFmtId="164" fontId="20" fillId="0" borderId="0" xfId="8" applyNumberFormat="1" applyFont="1" applyFill="1" applyBorder="1" applyAlignment="1">
      <alignment horizontal="right"/>
    </xf>
    <xf numFmtId="3" fontId="20" fillId="0" borderId="0" xfId="11" applyNumberFormat="1" applyFont="1"/>
    <xf numFmtId="198" fontId="0" fillId="0" borderId="0" xfId="0" applyNumberFormat="1"/>
    <xf numFmtId="0" fontId="20" fillId="91" borderId="0" xfId="6" applyFont="1" applyFill="1"/>
    <xf numFmtId="0" fontId="97" fillId="0" borderId="0" xfId="6" applyFont="1" applyAlignment="1">
      <alignment horizontal="left" indent="1"/>
    </xf>
    <xf numFmtId="37" fontId="20" fillId="0" borderId="0" xfId="0" applyNumberFormat="1" applyFont="1" applyAlignment="1">
      <alignment horizontal="left" indent="1"/>
    </xf>
    <xf numFmtId="167" fontId="0" fillId="0" borderId="0" xfId="0" applyNumberFormat="1"/>
    <xf numFmtId="167" fontId="0" fillId="0" borderId="0" xfId="0" applyNumberFormat="1" applyAlignment="1">
      <alignment horizontal="left" indent="1"/>
    </xf>
    <xf numFmtId="164" fontId="4" fillId="0" borderId="0" xfId="0" applyNumberFormat="1" applyFont="1"/>
    <xf numFmtId="0" fontId="102" fillId="0" borderId="0" xfId="6" applyFont="1" applyAlignment="1">
      <alignment horizontal="left"/>
    </xf>
    <xf numFmtId="0" fontId="97" fillId="0" borderId="0" xfId="6" applyFont="1" applyAlignment="1">
      <alignment horizontal="right"/>
    </xf>
    <xf numFmtId="0" fontId="102" fillId="92" borderId="0" xfId="6" applyFont="1" applyFill="1" applyAlignment="1">
      <alignment horizontal="left"/>
    </xf>
    <xf numFmtId="0" fontId="97" fillId="92" borderId="0" xfId="6" applyFont="1" applyFill="1" applyAlignment="1">
      <alignment horizontal="right"/>
    </xf>
    <xf numFmtId="0" fontId="0" fillId="0" borderId="0" xfId="0" quotePrefix="1" applyAlignment="1">
      <alignment horizontal="center"/>
    </xf>
    <xf numFmtId="0" fontId="97" fillId="0" borderId="32" xfId="6" applyFont="1" applyBorder="1" applyAlignment="1">
      <alignment horizontal="center"/>
    </xf>
    <xf numFmtId="194" fontId="20" fillId="91" borderId="0" xfId="6" applyNumberFormat="1" applyFont="1" applyFill="1" applyAlignment="1">
      <alignment horizontal="center"/>
    </xf>
    <xf numFmtId="0" fontId="0" fillId="91" borderId="0" xfId="47" applyFont="1" applyFill="1"/>
    <xf numFmtId="194" fontId="20" fillId="0" borderId="0" xfId="6" quotePrefix="1" applyNumberFormat="1" applyFont="1" applyAlignment="1">
      <alignment horizontal="center"/>
    </xf>
    <xf numFmtId="164" fontId="20" fillId="0" borderId="0" xfId="9" applyNumberFormat="1" applyFont="1" applyFill="1" applyBorder="1"/>
    <xf numFmtId="164" fontId="20" fillId="0" borderId="0" xfId="9" applyNumberFormat="1" applyFont="1" applyBorder="1"/>
    <xf numFmtId="39" fontId="20" fillId="0" borderId="0" xfId="0" applyNumberFormat="1" applyFont="1" applyAlignment="1">
      <alignment horizontal="left" indent="1"/>
    </xf>
    <xf numFmtId="164" fontId="20" fillId="0" borderId="33" xfId="9" applyNumberFormat="1" applyFont="1" applyBorder="1"/>
    <xf numFmtId="39" fontId="0" fillId="0" borderId="0" xfId="0" applyNumberFormat="1" applyAlignment="1">
      <alignment horizontal="left" indent="1"/>
    </xf>
    <xf numFmtId="0" fontId="20" fillId="0" borderId="0" xfId="6" quotePrefix="1" applyFont="1" applyAlignment="1">
      <alignment horizontal="left" indent="1"/>
    </xf>
    <xf numFmtId="164" fontId="20" fillId="0" borderId="0" xfId="9" applyNumberFormat="1" applyFont="1" applyBorder="1" applyAlignment="1">
      <alignment horizontal="left" indent="1"/>
    </xf>
    <xf numFmtId="39" fontId="20" fillId="0" borderId="0" xfId="9" applyNumberFormat="1" applyFont="1" applyBorder="1"/>
    <xf numFmtId="37" fontId="20" fillId="92" borderId="0" xfId="9" applyNumberFormat="1" applyFont="1" applyFill="1" applyBorder="1" applyAlignment="1">
      <alignment horizontal="center"/>
    </xf>
    <xf numFmtId="39" fontId="20" fillId="92" borderId="0" xfId="9" applyNumberFormat="1" applyFont="1" applyFill="1" applyBorder="1"/>
    <xf numFmtId="194" fontId="20" fillId="91" borderId="0" xfId="47" quotePrefix="1" applyNumberFormat="1" applyFont="1" applyFill="1" applyAlignment="1">
      <alignment horizontal="center"/>
    </xf>
    <xf numFmtId="164" fontId="20" fillId="92" borderId="0" xfId="9" applyNumberFormat="1" applyFont="1" applyFill="1" applyBorder="1"/>
    <xf numFmtId="164" fontId="97" fillId="0" borderId="0" xfId="6" applyNumberFormat="1" applyFont="1" applyAlignment="1">
      <alignment horizontal="center"/>
    </xf>
    <xf numFmtId="164" fontId="97" fillId="0" borderId="32" xfId="6" applyNumberFormat="1" applyFont="1" applyBorder="1" applyAlignment="1">
      <alignment horizontal="center"/>
    </xf>
    <xf numFmtId="164" fontId="20" fillId="0" borderId="32" xfId="9" applyNumberFormat="1" applyFont="1" applyBorder="1"/>
    <xf numFmtId="164" fontId="20" fillId="0" borderId="33" xfId="9" applyNumberFormat="1" applyFont="1" applyFill="1" applyBorder="1"/>
    <xf numFmtId="164" fontId="20" fillId="92" borderId="0" xfId="9" applyNumberFormat="1" applyFont="1" applyFill="1" applyBorder="1" applyAlignment="1">
      <alignment horizontal="left" indent="1"/>
    </xf>
    <xf numFmtId="0" fontId="20" fillId="92" borderId="0" xfId="0" applyFont="1" applyFill="1" applyAlignment="1">
      <alignment horizontal="left" indent="1"/>
    </xf>
    <xf numFmtId="164" fontId="97" fillId="0" borderId="0" xfId="9" applyNumberFormat="1" applyFont="1" applyBorder="1" applyAlignment="1">
      <alignment horizontal="center"/>
    </xf>
    <xf numFmtId="0" fontId="97" fillId="0" borderId="0" xfId="0" quotePrefix="1" applyFont="1" applyAlignment="1">
      <alignment horizontal="left" indent="1"/>
    </xf>
    <xf numFmtId="164" fontId="98" fillId="0" borderId="0" xfId="9" applyNumberFormat="1" applyFont="1" applyBorder="1" applyAlignment="1">
      <alignment horizontal="center"/>
    </xf>
    <xf numFmtId="0" fontId="20" fillId="0" borderId="0" xfId="0" applyFont="1" applyAlignment="1">
      <alignment wrapText="1"/>
    </xf>
    <xf numFmtId="199" fontId="20" fillId="0" borderId="0" xfId="9" applyNumberFormat="1" applyFont="1" applyBorder="1" applyAlignment="1">
      <alignment horizontal="left" indent="1"/>
    </xf>
    <xf numFmtId="3" fontId="20" fillId="91" borderId="0" xfId="9" applyNumberFormat="1" applyFont="1" applyFill="1" applyBorder="1"/>
    <xf numFmtId="10" fontId="20" fillId="0" borderId="0" xfId="9" applyNumberFormat="1" applyFont="1" applyBorder="1"/>
    <xf numFmtId="164" fontId="0" fillId="0" borderId="0" xfId="0" applyNumberFormat="1" applyAlignment="1">
      <alignment horizontal="right"/>
    </xf>
    <xf numFmtId="199" fontId="20" fillId="0" borderId="0" xfId="0" quotePrefix="1" applyNumberFormat="1" applyFont="1" applyAlignment="1">
      <alignment horizontal="center"/>
    </xf>
    <xf numFmtId="0" fontId="0" fillId="91" borderId="0" xfId="0" applyFill="1" applyAlignment="1">
      <alignment wrapText="1"/>
    </xf>
    <xf numFmtId="0" fontId="20" fillId="0" borderId="0" xfId="0" applyFont="1" applyAlignment="1">
      <alignment horizontal="right" indent="1"/>
    </xf>
    <xf numFmtId="14" fontId="0" fillId="0" borderId="0" xfId="0" applyNumberFormat="1"/>
    <xf numFmtId="44" fontId="0" fillId="92" borderId="0" xfId="0" applyNumberFormat="1" applyFill="1"/>
    <xf numFmtId="164" fontId="4" fillId="0" borderId="0" xfId="0" applyNumberFormat="1" applyFont="1" applyAlignment="1">
      <alignment horizontal="center"/>
    </xf>
    <xf numFmtId="0" fontId="20" fillId="0" borderId="0" xfId="7" applyFont="1"/>
    <xf numFmtId="0" fontId="97" fillId="0" borderId="0" xfId="7" applyFont="1" applyAlignment="1">
      <alignment horizontal="center"/>
    </xf>
    <xf numFmtId="0" fontId="20" fillId="91" borderId="0" xfId="7" applyFont="1" applyFill="1"/>
    <xf numFmtId="164" fontId="96" fillId="91" borderId="0" xfId="7" applyNumberFormat="1" applyFont="1" applyFill="1"/>
    <xf numFmtId="164" fontId="20" fillId="91" borderId="0" xfId="7" applyNumberFormat="1" applyFont="1" applyFill="1"/>
    <xf numFmtId="0" fontId="20" fillId="91" borderId="0" xfId="7" quotePrefix="1" applyFont="1" applyFill="1"/>
    <xf numFmtId="0" fontId="98" fillId="0" borderId="0" xfId="7" applyFont="1" applyAlignment="1">
      <alignment horizontal="center"/>
    </xf>
    <xf numFmtId="164" fontId="20" fillId="0" borderId="0" xfId="7" applyNumberFormat="1" applyFont="1"/>
    <xf numFmtId="0" fontId="97" fillId="0" borderId="0" xfId="7" applyFont="1" applyAlignment="1">
      <alignment vertical="center"/>
    </xf>
    <xf numFmtId="164" fontId="97" fillId="0" borderId="34" xfId="7" applyNumberFormat="1" applyFont="1" applyBorder="1" applyAlignment="1">
      <alignment vertical="center"/>
    </xf>
    <xf numFmtId="0" fontId="97" fillId="0" borderId="0" xfId="7" applyFont="1" applyAlignment="1">
      <alignment horizontal="center" vertical="center"/>
    </xf>
    <xf numFmtId="0" fontId="98" fillId="0" borderId="0" xfId="7" applyFont="1"/>
    <xf numFmtId="0" fontId="97" fillId="0" borderId="0" xfId="7" applyFont="1"/>
    <xf numFmtId="0" fontId="97" fillId="0" borderId="0" xfId="7" quotePrefix="1" applyFont="1" applyAlignment="1">
      <alignment horizontal="center"/>
    </xf>
    <xf numFmtId="0" fontId="98" fillId="0" borderId="0" xfId="7" applyFont="1" applyAlignment="1">
      <alignment horizontal="left"/>
    </xf>
    <xf numFmtId="0" fontId="20" fillId="0" borderId="0" xfId="7" applyFont="1" applyAlignment="1">
      <alignment horizontal="left" indent="1"/>
    </xf>
    <xf numFmtId="6" fontId="0" fillId="0" borderId="0" xfId="0" applyNumberFormat="1"/>
    <xf numFmtId="6" fontId="23" fillId="0" borderId="0" xfId="0" applyNumberFormat="1" applyFont="1"/>
    <xf numFmtId="10" fontId="0" fillId="0" borderId="0" xfId="1" applyNumberFormat="1" applyFont="1" applyAlignment="1">
      <alignment vertical="center"/>
    </xf>
    <xf numFmtId="0" fontId="2" fillId="0" borderId="8" xfId="0" applyFont="1" applyBorder="1" applyAlignment="1">
      <alignment horizontal="center"/>
    </xf>
    <xf numFmtId="0" fontId="0" fillId="0" borderId="0" xfId="0" quotePrefix="1"/>
    <xf numFmtId="0" fontId="2" fillId="0" borderId="0" xfId="47" applyFont="1" applyAlignment="1">
      <alignment horizontal="center"/>
    </xf>
    <xf numFmtId="0" fontId="20" fillId="0" borderId="35" xfId="47" applyFont="1" applyBorder="1"/>
    <xf numFmtId="0" fontId="20" fillId="0" borderId="36" xfId="47" applyFont="1" applyBorder="1"/>
    <xf numFmtId="0" fontId="20" fillId="0" borderId="6" xfId="47" applyFont="1" applyBorder="1"/>
    <xf numFmtId="0" fontId="97" fillId="0" borderId="6" xfId="47" applyFont="1" applyBorder="1"/>
    <xf numFmtId="0" fontId="97" fillId="0" borderId="36" xfId="47" applyFont="1" applyBorder="1"/>
    <xf numFmtId="0" fontId="20" fillId="0" borderId="6" xfId="47" applyFont="1" applyBorder="1" applyAlignment="1">
      <alignment horizontal="right"/>
    </xf>
    <xf numFmtId="0" fontId="98" fillId="0" borderId="0" xfId="47" applyFont="1" applyAlignment="1">
      <alignment horizontal="right"/>
    </xf>
    <xf numFmtId="0" fontId="98" fillId="0" borderId="37" xfId="47" applyFont="1" applyBorder="1" applyAlignment="1">
      <alignment horizontal="center"/>
    </xf>
    <xf numFmtId="0" fontId="98" fillId="0" borderId="33" xfId="47" applyFont="1" applyBorder="1" applyAlignment="1">
      <alignment horizontal="center"/>
    </xf>
    <xf numFmtId="0" fontId="20" fillId="0" borderId="33" xfId="47" applyFont="1" applyBorder="1"/>
    <xf numFmtId="164" fontId="20" fillId="0" borderId="0" xfId="47" applyNumberFormat="1" applyFont="1" applyAlignment="1">
      <alignment horizontal="right"/>
    </xf>
    <xf numFmtId="0" fontId="97" fillId="0" borderId="0" xfId="47" applyFont="1" applyAlignment="1">
      <alignment horizontal="right"/>
    </xf>
    <xf numFmtId="0" fontId="0" fillId="91" borderId="0" xfId="0" quotePrefix="1" applyFill="1" applyAlignment="1">
      <alignment horizontal="center"/>
    </xf>
    <xf numFmtId="5" fontId="0" fillId="91" borderId="0" xfId="0" applyNumberFormat="1" applyFill="1"/>
    <xf numFmtId="5" fontId="2" fillId="0" borderId="0" xfId="0" applyNumberFormat="1" applyFont="1"/>
    <xf numFmtId="0" fontId="4" fillId="92" borderId="0" xfId="0" applyFont="1" applyFill="1" applyAlignment="1">
      <alignment horizontal="center"/>
    </xf>
    <xf numFmtId="0" fontId="4" fillId="92" borderId="0" xfId="0" applyFont="1" applyFill="1"/>
    <xf numFmtId="6" fontId="0" fillId="91" borderId="0" xfId="4" applyNumberFormat="1" applyFont="1" applyFill="1" applyBorder="1"/>
    <xf numFmtId="0" fontId="4" fillId="0" borderId="0" xfId="0" applyFont="1" applyAlignment="1">
      <alignment horizontal="left"/>
    </xf>
    <xf numFmtId="0" fontId="4" fillId="92" borderId="0" xfId="0" applyFont="1" applyFill="1" applyAlignment="1">
      <alignment horizontal="left"/>
    </xf>
    <xf numFmtId="10" fontId="20" fillId="0" borderId="0" xfId="9" applyNumberFormat="1" applyFont="1" applyFill="1" applyBorder="1"/>
    <xf numFmtId="164" fontId="20" fillId="0" borderId="0" xfId="9" applyNumberFormat="1" applyFont="1" applyFill="1" applyBorder="1" applyAlignment="1">
      <alignment horizontal="left" indent="1"/>
    </xf>
    <xf numFmtId="0" fontId="97" fillId="0" borderId="0" xfId="0" applyFont="1" applyAlignment="1">
      <alignment horizontal="right" indent="1"/>
    </xf>
    <xf numFmtId="164" fontId="97" fillId="0" borderId="0" xfId="9" applyNumberFormat="1" applyFont="1" applyFill="1" applyBorder="1" applyAlignment="1">
      <alignment horizontal="center" wrapText="1"/>
    </xf>
    <xf numFmtId="164" fontId="97" fillId="0" borderId="0" xfId="9" applyNumberFormat="1" applyFont="1" applyFill="1" applyBorder="1" applyAlignment="1">
      <alignment horizontal="center"/>
    </xf>
    <xf numFmtId="164" fontId="0" fillId="92" borderId="0" xfId="0" applyNumberFormat="1" applyFill="1" applyAlignment="1">
      <alignment horizontal="right"/>
    </xf>
    <xf numFmtId="10" fontId="20" fillId="92" borderId="0" xfId="9" applyNumberFormat="1" applyFont="1" applyFill="1" applyBorder="1"/>
    <xf numFmtId="5" fontId="2" fillId="0" borderId="34" xfId="0" applyNumberFormat="1" applyFont="1" applyBorder="1"/>
    <xf numFmtId="5" fontId="2" fillId="0" borderId="15" xfId="0" applyNumberFormat="1" applyFont="1" applyBorder="1"/>
    <xf numFmtId="10" fontId="2" fillId="0" borderId="0" xfId="1" applyNumberFormat="1" applyFont="1"/>
    <xf numFmtId="10" fontId="2" fillId="92" borderId="0" xfId="1" applyNumberFormat="1" applyFont="1" applyFill="1"/>
    <xf numFmtId="3" fontId="0" fillId="0" borderId="0" xfId="0" applyNumberFormat="1"/>
    <xf numFmtId="10" fontId="2" fillId="0" borderId="0" xfId="0" applyNumberFormat="1" applyFont="1"/>
    <xf numFmtId="0" fontId="0" fillId="91" borderId="0" xfId="0" quotePrefix="1" applyFill="1"/>
    <xf numFmtId="167" fontId="0" fillId="0" borderId="0" xfId="1" applyNumberFormat="1" applyFont="1" applyFill="1"/>
    <xf numFmtId="167" fontId="0" fillId="91" borderId="0" xfId="1" applyNumberFormat="1" applyFont="1" applyFill="1"/>
    <xf numFmtId="5" fontId="0" fillId="91" borderId="0" xfId="4" applyNumberFormat="1" applyFont="1" applyFill="1" applyAlignment="1">
      <alignment wrapText="1"/>
    </xf>
    <xf numFmtId="0" fontId="3" fillId="0" borderId="0" xfId="0" applyFont="1" applyAlignment="1">
      <alignment horizontal="center"/>
    </xf>
    <xf numFmtId="166" fontId="0" fillId="0" borderId="0" xfId="4" applyNumberFormat="1" applyFont="1" applyFill="1" applyBorder="1"/>
    <xf numFmtId="166" fontId="0" fillId="91" borderId="32" xfId="4" applyNumberFormat="1" applyFont="1" applyFill="1" applyBorder="1"/>
    <xf numFmtId="201" fontId="0" fillId="91" borderId="0" xfId="4" applyNumberFormat="1" applyFont="1" applyFill="1"/>
    <xf numFmtId="3" fontId="20" fillId="0" borderId="0" xfId="0" applyNumberFormat="1" applyFont="1"/>
    <xf numFmtId="0" fontId="105" fillId="0" borderId="0" xfId="0" applyFont="1"/>
    <xf numFmtId="0" fontId="106" fillId="0" borderId="0" xfId="0" applyFont="1"/>
    <xf numFmtId="3" fontId="20" fillId="91" borderId="32" xfId="0" applyNumberFormat="1" applyFont="1" applyFill="1" applyBorder="1"/>
    <xf numFmtId="0" fontId="20" fillId="0" borderId="0" xfId="0" applyFont="1" applyAlignment="1">
      <alignment horizontal="centerContinuous"/>
    </xf>
    <xf numFmtId="3" fontId="20" fillId="0" borderId="0" xfId="0" applyNumberFormat="1" applyFont="1" applyAlignment="1">
      <alignment horizontal="center"/>
    </xf>
    <xf numFmtId="0" fontId="97" fillId="0" borderId="0" xfId="0" quotePrefix="1" applyFont="1" applyAlignment="1">
      <alignment horizontal="right"/>
    </xf>
    <xf numFmtId="0" fontId="20" fillId="0" borderId="0" xfId="0" applyFont="1" applyAlignment="1">
      <alignment horizontal="right"/>
    </xf>
    <xf numFmtId="0" fontId="97" fillId="0" borderId="0" xfId="0" applyFont="1" applyAlignment="1">
      <alignment horizontal="centerContinuous"/>
    </xf>
    <xf numFmtId="3" fontId="96" fillId="0" borderId="0" xfId="0" applyNumberFormat="1" applyFont="1"/>
    <xf numFmtId="166" fontId="0" fillId="0" borderId="0" xfId="8160" applyNumberFormat="1" applyFont="1"/>
    <xf numFmtId="0" fontId="102" fillId="0" borderId="0" xfId="0" applyFont="1" applyAlignment="1">
      <alignment horizontal="center"/>
    </xf>
    <xf numFmtId="0" fontId="97" fillId="0" borderId="38" xfId="0" applyFont="1" applyBorder="1"/>
    <xf numFmtId="166" fontId="20" fillId="91" borderId="0" xfId="8160" applyNumberFormat="1" applyFont="1" applyFill="1" applyBorder="1"/>
    <xf numFmtId="166" fontId="20" fillId="0" borderId="0" xfId="8160" applyNumberFormat="1" applyFont="1" applyFill="1" applyBorder="1"/>
    <xf numFmtId="166" fontId="20" fillId="91" borderId="0" xfId="8160" applyNumberFormat="1" applyFont="1" applyFill="1" applyBorder="1" applyAlignment="1">
      <alignment horizontal="center"/>
    </xf>
    <xf numFmtId="166" fontId="20" fillId="0" borderId="0" xfId="8160" applyNumberFormat="1" applyFont="1" applyFill="1" applyAlignment="1">
      <alignment horizontal="center"/>
    </xf>
    <xf numFmtId="166" fontId="20" fillId="0" borderId="0" xfId="8160" applyNumberFormat="1" applyFont="1" applyFill="1" applyBorder="1" applyAlignment="1">
      <alignment horizontal="center"/>
    </xf>
    <xf numFmtId="37" fontId="20" fillId="91" borderId="0" xfId="8160" applyNumberFormat="1" applyFont="1" applyFill="1" applyBorder="1"/>
    <xf numFmtId="37" fontId="20" fillId="0" borderId="0" xfId="8160" applyNumberFormat="1" applyFont="1" applyFill="1" applyBorder="1"/>
    <xf numFmtId="166" fontId="20" fillId="91" borderId="0" xfId="8160" applyNumberFormat="1" applyFont="1" applyFill="1" applyBorder="1" applyAlignment="1">
      <alignment horizontal="right"/>
    </xf>
    <xf numFmtId="166" fontId="20" fillId="0" borderId="0" xfId="8160" applyNumberFormat="1" applyFont="1" applyFill="1" applyBorder="1" applyAlignment="1">
      <alignment horizontal="right"/>
    </xf>
    <xf numFmtId="167" fontId="20" fillId="0" borderId="0" xfId="0" applyNumberFormat="1" applyFont="1"/>
    <xf numFmtId="203" fontId="20" fillId="0" borderId="0" xfId="0" applyNumberFormat="1" applyFont="1" applyAlignment="1">
      <alignment horizontal="center"/>
    </xf>
    <xf numFmtId="167" fontId="20" fillId="0" borderId="0" xfId="0" applyNumberFormat="1" applyFont="1" applyAlignment="1">
      <alignment horizontal="center"/>
    </xf>
    <xf numFmtId="0" fontId="20" fillId="0" borderId="0" xfId="0" applyFont="1" applyAlignment="1">
      <alignment horizontal="center" vertical="center"/>
    </xf>
    <xf numFmtId="3" fontId="20" fillId="0" borderId="0" xfId="0" applyNumberFormat="1" applyFont="1" applyAlignment="1">
      <alignment horizontal="centerContinuous"/>
    </xf>
    <xf numFmtId="3" fontId="97" fillId="0" borderId="0" xfId="0" applyNumberFormat="1" applyFont="1"/>
    <xf numFmtId="3" fontId="20" fillId="0" borderId="0" xfId="0" applyNumberFormat="1" applyFont="1" applyAlignment="1">
      <alignment horizontal="left"/>
    </xf>
    <xf numFmtId="10" fontId="20" fillId="0" borderId="0" xfId="1" applyNumberFormat="1" applyFont="1"/>
    <xf numFmtId="0" fontId="97" fillId="91" borderId="0" xfId="47" applyFont="1" applyFill="1"/>
    <xf numFmtId="10" fontId="0" fillId="0" borderId="32" xfId="1" applyNumberFormat="1" applyFont="1" applyFill="1" applyBorder="1"/>
    <xf numFmtId="17" fontId="0" fillId="0" borderId="0" xfId="0" applyNumberFormat="1"/>
    <xf numFmtId="37" fontId="97" fillId="0" borderId="0" xfId="0" applyNumberFormat="1" applyFont="1"/>
    <xf numFmtId="0" fontId="20" fillId="91" borderId="0" xfId="0" applyFont="1" applyFill="1"/>
    <xf numFmtId="0" fontId="20" fillId="0" borderId="33" xfId="0" applyFont="1" applyBorder="1"/>
    <xf numFmtId="0" fontId="20" fillId="0" borderId="0" xfId="6" quotePrefix="1" applyFont="1" applyAlignment="1">
      <alignment horizontal="center" vertical="center"/>
    </xf>
    <xf numFmtId="0" fontId="2" fillId="0" borderId="39" xfId="0" applyFont="1" applyBorder="1" applyAlignment="1">
      <alignment horizontal="center"/>
    </xf>
    <xf numFmtId="0" fontId="0" fillId="0" borderId="40" xfId="0" applyBorder="1"/>
    <xf numFmtId="0" fontId="0" fillId="0" borderId="41" xfId="0" applyBorder="1"/>
    <xf numFmtId="0" fontId="0" fillId="0" borderId="39" xfId="0" applyBorder="1"/>
    <xf numFmtId="0" fontId="97" fillId="0" borderId="8" xfId="0" applyFont="1" applyBorder="1" applyAlignment="1">
      <alignment horizontal="center" vertical="center"/>
    </xf>
    <xf numFmtId="164" fontId="97" fillId="0" borderId="8" xfId="0" applyNumberFormat="1" applyFont="1" applyBorder="1" applyAlignment="1">
      <alignment horizontal="center" vertical="center" wrapText="1"/>
    </xf>
    <xf numFmtId="169" fontId="97" fillId="0" borderId="8" xfId="0" applyNumberFormat="1" applyFont="1" applyBorder="1" applyAlignment="1">
      <alignment horizontal="center" vertical="center" wrapText="1"/>
    </xf>
    <xf numFmtId="5" fontId="20" fillId="0" borderId="0" xfId="0" applyNumberFormat="1" applyFont="1"/>
    <xf numFmtId="5" fontId="20" fillId="0" borderId="33" xfId="0" applyNumberFormat="1" applyFont="1" applyBorder="1"/>
    <xf numFmtId="5" fontId="20" fillId="91" borderId="0" xfId="6" applyNumberFormat="1" applyFont="1" applyFill="1"/>
    <xf numFmtId="5" fontId="0" fillId="91" borderId="0" xfId="47" applyNumberFormat="1" applyFont="1" applyFill="1"/>
    <xf numFmtId="5" fontId="20" fillId="0" borderId="0" xfId="9" applyNumberFormat="1" applyFont="1" applyFill="1" applyBorder="1"/>
    <xf numFmtId="5" fontId="20" fillId="0" borderId="0" xfId="9" applyNumberFormat="1" applyFont="1" applyBorder="1"/>
    <xf numFmtId="5" fontId="20" fillId="0" borderId="33" xfId="9" applyNumberFormat="1" applyFont="1" applyBorder="1"/>
    <xf numFmtId="5" fontId="20" fillId="91" borderId="0" xfId="9" applyNumberFormat="1" applyFont="1" applyFill="1" applyBorder="1"/>
    <xf numFmtId="5" fontId="0" fillId="91" borderId="0" xfId="9" applyNumberFormat="1" applyFont="1" applyFill="1" applyBorder="1"/>
    <xf numFmtId="7" fontId="20" fillId="0" borderId="0" xfId="1" applyNumberFormat="1" applyFont="1" applyBorder="1"/>
    <xf numFmtId="5" fontId="20" fillId="0" borderId="42" xfId="9" applyNumberFormat="1" applyFont="1" applyFill="1" applyBorder="1"/>
    <xf numFmtId="5" fontId="20" fillId="0" borderId="0" xfId="9" applyNumberFormat="1" applyFont="1" applyBorder="1" applyAlignment="1">
      <alignment horizontal="left" indent="1"/>
    </xf>
    <xf numFmtId="5" fontId="20" fillId="0" borderId="0" xfId="0" quotePrefix="1" applyNumberFormat="1" applyFont="1" applyAlignment="1">
      <alignment horizontal="right"/>
    </xf>
    <xf numFmtId="37" fontId="20" fillId="0" borderId="0" xfId="0" applyNumberFormat="1" applyFont="1"/>
    <xf numFmtId="37" fontId="3" fillId="0" borderId="0" xfId="0" applyNumberFormat="1" applyFont="1"/>
    <xf numFmtId="37" fontId="20" fillId="0" borderId="0" xfId="0" quotePrefix="1" applyNumberFormat="1" applyFont="1" applyAlignment="1">
      <alignment horizontal="center"/>
    </xf>
    <xf numFmtId="5" fontId="20" fillId="0" borderId="0" xfId="6" applyNumberFormat="1" applyFont="1" applyAlignment="1">
      <alignment horizontal="right"/>
    </xf>
    <xf numFmtId="5" fontId="20" fillId="0" borderId="33" xfId="9" applyNumberFormat="1" applyFont="1" applyFill="1" applyBorder="1"/>
    <xf numFmtId="5" fontId="0" fillId="0" borderId="0" xfId="0" applyNumberFormat="1" applyAlignment="1">
      <alignment horizontal="right"/>
    </xf>
    <xf numFmtId="5" fontId="3" fillId="0" borderId="0" xfId="0" applyNumberFormat="1" applyFont="1"/>
    <xf numFmtId="5" fontId="20" fillId="91" borderId="0" xfId="0" applyNumberFormat="1" applyFont="1" applyFill="1"/>
    <xf numFmtId="192" fontId="0" fillId="0" borderId="0" xfId="0" applyNumberFormat="1"/>
    <xf numFmtId="5" fontId="0" fillId="0" borderId="0" xfId="0" applyNumberFormat="1" applyAlignment="1">
      <alignment vertical="center"/>
    </xf>
    <xf numFmtId="10" fontId="0" fillId="91" borderId="0" xfId="1" applyNumberFormat="1" applyFont="1" applyFill="1" applyAlignment="1">
      <alignment vertical="center"/>
    </xf>
    <xf numFmtId="43" fontId="20" fillId="0" borderId="0" xfId="47" applyNumberFormat="1" applyFont="1"/>
    <xf numFmtId="5" fontId="20" fillId="0" borderId="0" xfId="47" applyNumberFormat="1" applyFont="1"/>
    <xf numFmtId="5" fontId="97" fillId="0" borderId="0" xfId="47" applyNumberFormat="1" applyFont="1"/>
    <xf numFmtId="5" fontId="20" fillId="0" borderId="32" xfId="47" applyNumberFormat="1" applyFont="1" applyBorder="1"/>
    <xf numFmtId="5" fontId="97" fillId="0" borderId="0" xfId="47" applyNumberFormat="1" applyFont="1" applyAlignment="1">
      <alignment horizontal="right"/>
    </xf>
    <xf numFmtId="5" fontId="20" fillId="91" borderId="0" xfId="47" applyNumberFormat="1" applyFont="1" applyFill="1"/>
    <xf numFmtId="5" fontId="20" fillId="91" borderId="32" xfId="47" applyNumberFormat="1" applyFont="1" applyFill="1" applyBorder="1"/>
    <xf numFmtId="164" fontId="0" fillId="0" borderId="0" xfId="0" applyNumberFormat="1" applyAlignment="1">
      <alignment horizontal="left"/>
    </xf>
    <xf numFmtId="5" fontId="20" fillId="0" borderId="0" xfId="4" applyNumberFormat="1" applyFont="1" applyFill="1"/>
    <xf numFmtId="5" fontId="20" fillId="0" borderId="0" xfId="4" applyNumberFormat="1" applyFont="1"/>
    <xf numFmtId="5" fontId="20" fillId="0" borderId="32" xfId="4" applyNumberFormat="1" applyFont="1" applyBorder="1"/>
    <xf numFmtId="5" fontId="20" fillId="91" borderId="0" xfId="8160" applyNumberFormat="1" applyFont="1" applyFill="1" applyBorder="1" applyProtection="1">
      <protection locked="0"/>
    </xf>
    <xf numFmtId="5" fontId="20" fillId="91" borderId="32" xfId="8160" applyNumberFormat="1" applyFont="1" applyFill="1" applyBorder="1" applyProtection="1">
      <protection locked="0"/>
    </xf>
    <xf numFmtId="5" fontId="20" fillId="91" borderId="0" xfId="0" applyNumberFormat="1" applyFont="1" applyFill="1" applyProtection="1">
      <protection locked="0"/>
    </xf>
    <xf numFmtId="5" fontId="20" fillId="91" borderId="0" xfId="0" applyNumberFormat="1" applyFont="1" applyFill="1" applyAlignment="1">
      <alignment horizontal="center"/>
    </xf>
    <xf numFmtId="5" fontId="97" fillId="0" borderId="0" xfId="0" applyNumberFormat="1" applyFont="1"/>
    <xf numFmtId="5" fontId="20" fillId="91" borderId="0" xfId="8" applyNumberFormat="1" applyFont="1" applyFill="1"/>
    <xf numFmtId="5" fontId="20" fillId="91" borderId="0" xfId="8" applyNumberFormat="1" applyFont="1" applyFill="1" applyBorder="1"/>
    <xf numFmtId="5" fontId="20" fillId="0" borderId="0" xfId="8" applyNumberFormat="1" applyFont="1" applyFill="1" applyBorder="1"/>
    <xf numFmtId="5" fontId="20" fillId="0" borderId="32" xfId="8" applyNumberFormat="1" applyFont="1" applyFill="1" applyBorder="1"/>
    <xf numFmtId="5" fontId="0" fillId="91" borderId="0" xfId="8" applyNumberFormat="1" applyFont="1" applyFill="1"/>
    <xf numFmtId="5" fontId="20" fillId="91" borderId="32" xfId="8" applyNumberFormat="1" applyFont="1" applyFill="1" applyBorder="1"/>
    <xf numFmtId="5" fontId="0" fillId="0" borderId="32" xfId="8" applyNumberFormat="1" applyFont="1" applyFill="1" applyBorder="1"/>
    <xf numFmtId="5" fontId="0" fillId="0" borderId="0" xfId="8" applyNumberFormat="1" applyFont="1" applyFill="1"/>
    <xf numFmtId="5" fontId="0" fillId="91" borderId="32" xfId="8" applyNumberFormat="1" applyFont="1" applyFill="1" applyBorder="1"/>
    <xf numFmtId="5" fontId="20" fillId="0" borderId="0" xfId="0" applyNumberFormat="1" applyFont="1" applyAlignment="1">
      <alignment horizontal="right"/>
    </xf>
    <xf numFmtId="5" fontId="20" fillId="0" borderId="0" xfId="9" applyNumberFormat="1" applyFont="1" applyFill="1"/>
    <xf numFmtId="5" fontId="20" fillId="0" borderId="32" xfId="9" applyNumberFormat="1" applyFont="1" applyFill="1" applyBorder="1"/>
    <xf numFmtId="5" fontId="0" fillId="91" borderId="0" xfId="9" applyNumberFormat="1" applyFont="1" applyFill="1"/>
    <xf numFmtId="5" fontId="20" fillId="91" borderId="32" xfId="9" applyNumberFormat="1" applyFont="1" applyFill="1" applyBorder="1"/>
    <xf numFmtId="5" fontId="0" fillId="0" borderId="0" xfId="9" applyNumberFormat="1" applyFont="1" applyFill="1"/>
    <xf numFmtId="5" fontId="0" fillId="91" borderId="0" xfId="8" applyNumberFormat="1" applyFont="1" applyFill="1" applyBorder="1"/>
    <xf numFmtId="5" fontId="20" fillId="0" borderId="0" xfId="0" applyNumberFormat="1" applyFont="1" applyAlignment="1">
      <alignment horizontal="center"/>
    </xf>
    <xf numFmtId="5" fontId="20" fillId="0" borderId="32" xfId="0" applyNumberFormat="1" applyFont="1" applyBorder="1" applyAlignment="1">
      <alignment horizontal="center"/>
    </xf>
    <xf numFmtId="5" fontId="122" fillId="0" borderId="0" xfId="49" applyNumberFormat="1" applyAlignment="1">
      <alignment horizontal="right"/>
    </xf>
    <xf numFmtId="5" fontId="0" fillId="0" borderId="0" xfId="4" applyNumberFormat="1" applyFont="1" applyFill="1" applyAlignment="1">
      <alignment horizontal="right"/>
    </xf>
    <xf numFmtId="5" fontId="0" fillId="0" borderId="0" xfId="8" applyNumberFormat="1" applyFont="1" applyFill="1" applyBorder="1"/>
    <xf numFmtId="5" fontId="0" fillId="0" borderId="0" xfId="4" applyNumberFormat="1" applyFont="1" applyFill="1" applyBorder="1"/>
    <xf numFmtId="5" fontId="20" fillId="0" borderId="32" xfId="0" applyNumberFormat="1" applyFont="1" applyBorder="1"/>
    <xf numFmtId="5" fontId="2" fillId="0" borderId="0" xfId="8" applyNumberFormat="1" applyFont="1" applyFill="1"/>
    <xf numFmtId="5" fontId="0" fillId="0" borderId="0" xfId="8" applyNumberFormat="1" applyFont="1"/>
    <xf numFmtId="5" fontId="0" fillId="0" borderId="0" xfId="8" applyNumberFormat="1" applyFont="1" applyBorder="1"/>
    <xf numFmtId="5" fontId="2" fillId="0" borderId="0" xfId="8" applyNumberFormat="1" applyFont="1" applyFill="1" applyBorder="1"/>
    <xf numFmtId="5" fontId="20" fillId="91" borderId="0" xfId="9" applyNumberFormat="1" applyFont="1" applyFill="1" applyBorder="1" applyAlignment="1">
      <alignment horizontal="right"/>
    </xf>
    <xf numFmtId="5" fontId="20" fillId="0" borderId="0" xfId="9" applyNumberFormat="1" applyFont="1" applyFill="1" applyBorder="1" applyAlignment="1">
      <alignment horizontal="right"/>
    </xf>
    <xf numFmtId="5" fontId="20" fillId="91" borderId="32" xfId="9" applyNumberFormat="1" applyFont="1" applyFill="1" applyBorder="1" applyAlignment="1">
      <alignment horizontal="right"/>
    </xf>
    <xf numFmtId="5" fontId="20" fillId="0" borderId="32" xfId="9" applyNumberFormat="1" applyFont="1" applyFill="1" applyBorder="1" applyAlignment="1">
      <alignment horizontal="right"/>
    </xf>
    <xf numFmtId="5" fontId="20" fillId="0" borderId="0" xfId="8" applyNumberFormat="1" applyFont="1" applyFill="1" applyBorder="1" applyAlignment="1">
      <alignment horizontal="right"/>
    </xf>
    <xf numFmtId="5" fontId="97" fillId="0" borderId="0" xfId="8" applyNumberFormat="1" applyFont="1" applyFill="1" applyBorder="1" applyAlignment="1">
      <alignment horizontal="right"/>
    </xf>
    <xf numFmtId="5" fontId="0" fillId="91" borderId="0" xfId="0" applyNumberFormat="1" applyFill="1" applyAlignment="1">
      <alignment horizontal="right"/>
    </xf>
    <xf numFmtId="5" fontId="2" fillId="91" borderId="0" xfId="0" applyNumberFormat="1" applyFont="1" applyFill="1"/>
    <xf numFmtId="5" fontId="0" fillId="91" borderId="0" xfId="4" applyNumberFormat="1" applyFont="1" applyFill="1" applyBorder="1"/>
    <xf numFmtId="5" fontId="0" fillId="0" borderId="0" xfId="4" applyNumberFormat="1" applyFont="1" applyBorder="1"/>
    <xf numFmtId="3" fontId="98" fillId="0" borderId="0" xfId="0" quotePrefix="1" applyNumberFormat="1" applyFont="1" applyAlignment="1">
      <alignment horizontal="centerContinuous"/>
    </xf>
    <xf numFmtId="3" fontId="98" fillId="0" borderId="0" xfId="0" quotePrefix="1" applyNumberFormat="1" applyFont="1" applyAlignment="1">
      <alignment horizontal="center"/>
    </xf>
    <xf numFmtId="167" fontId="98" fillId="0" borderId="0" xfId="0" quotePrefix="1" applyNumberFormat="1" applyFont="1" applyAlignment="1">
      <alignment horizontal="center"/>
    </xf>
    <xf numFmtId="5" fontId="0" fillId="0" borderId="0" xfId="9" applyNumberFormat="1" applyFont="1" applyFill="1" applyBorder="1"/>
    <xf numFmtId="10" fontId="2" fillId="0" borderId="32" xfId="1" applyNumberFormat="1" applyFont="1" applyFill="1" applyBorder="1"/>
    <xf numFmtId="0" fontId="97" fillId="0" borderId="0" xfId="0" applyFont="1" applyAlignment="1">
      <alignment horizontal="center" vertical="top"/>
    </xf>
    <xf numFmtId="0" fontId="97" fillId="0" borderId="8" xfId="0" applyFont="1" applyBorder="1" applyAlignment="1">
      <alignment horizontal="center" vertical="top" wrapText="1"/>
    </xf>
    <xf numFmtId="166" fontId="20" fillId="0" borderId="0" xfId="0" applyNumberFormat="1" applyFont="1"/>
    <xf numFmtId="199" fontId="20" fillId="0" borderId="0" xfId="0" applyNumberFormat="1" applyFont="1"/>
    <xf numFmtId="5" fontId="97" fillId="0" borderId="33" xfId="0" applyNumberFormat="1" applyFont="1" applyBorder="1"/>
    <xf numFmtId="166" fontId="20" fillId="0" borderId="0" xfId="0" applyNumberFormat="1" applyFont="1" applyAlignment="1">
      <alignment horizontal="right"/>
    </xf>
    <xf numFmtId="10" fontId="0" fillId="0" borderId="0" xfId="1" applyNumberFormat="1" applyFont="1" applyFill="1" applyAlignment="1">
      <alignment horizontal="right" indent="1"/>
    </xf>
    <xf numFmtId="10" fontId="0" fillId="0" borderId="0" xfId="1" applyNumberFormat="1" applyFont="1" applyFill="1" applyAlignment="1">
      <alignment horizontal="right"/>
    </xf>
    <xf numFmtId="0" fontId="2" fillId="0" borderId="32" xfId="0" applyFont="1" applyBorder="1" applyAlignment="1">
      <alignment horizontal="center" wrapText="1"/>
    </xf>
    <xf numFmtId="10" fontId="0" fillId="0" borderId="0" xfId="4" applyNumberFormat="1" applyFont="1" applyFill="1" applyAlignment="1">
      <alignment horizontal="right"/>
    </xf>
    <xf numFmtId="0" fontId="0" fillId="0" borderId="33" xfId="0" applyBorder="1"/>
    <xf numFmtId="0" fontId="0" fillId="91" borderId="39" xfId="0" applyFill="1" applyBorder="1"/>
    <xf numFmtId="168" fontId="0" fillId="0" borderId="0" xfId="1" applyNumberFormat="1" applyFont="1" applyFill="1"/>
    <xf numFmtId="10" fontId="2" fillId="0" borderId="0" xfId="0" applyNumberFormat="1" applyFont="1" applyAlignment="1">
      <alignment horizontal="center"/>
    </xf>
    <xf numFmtId="164" fontId="98" fillId="0" borderId="0" xfId="9" applyNumberFormat="1" applyFont="1" applyFill="1" applyBorder="1" applyAlignment="1">
      <alignment horizontal="center"/>
    </xf>
    <xf numFmtId="164" fontId="20" fillId="0" borderId="32" xfId="6" applyNumberFormat="1" applyFont="1" applyBorder="1"/>
    <xf numFmtId="166" fontId="0" fillId="0" borderId="32" xfId="4" applyNumberFormat="1" applyFont="1" applyFill="1" applyBorder="1"/>
    <xf numFmtId="5" fontId="0" fillId="0" borderId="32" xfId="0" applyNumberFormat="1" applyBorder="1"/>
    <xf numFmtId="9" fontId="20" fillId="0" borderId="0" xfId="9" applyNumberFormat="1" applyFont="1" applyFill="1" applyBorder="1"/>
    <xf numFmtId="5" fontId="4" fillId="0" borderId="0" xfId="0" applyNumberFormat="1" applyFont="1" applyAlignment="1">
      <alignment horizontal="center"/>
    </xf>
    <xf numFmtId="164" fontId="98" fillId="0" borderId="0" xfId="9" applyNumberFormat="1" applyFont="1" applyFill="1" applyBorder="1" applyAlignment="1">
      <alignment horizontal="center" wrapText="1"/>
    </xf>
    <xf numFmtId="0" fontId="98" fillId="0" borderId="0" xfId="6" applyFont="1" applyAlignment="1">
      <alignment horizontal="center" wrapText="1"/>
    </xf>
    <xf numFmtId="166" fontId="0" fillId="0" borderId="0" xfId="0" quotePrefix="1" applyNumberFormat="1"/>
    <xf numFmtId="164" fontId="97" fillId="0" borderId="0" xfId="6" applyNumberFormat="1" applyFont="1"/>
    <xf numFmtId="166" fontId="2" fillId="0" borderId="0" xfId="0" applyNumberFormat="1" applyFont="1"/>
    <xf numFmtId="6" fontId="0" fillId="0" borderId="0" xfId="4" applyNumberFormat="1" applyFont="1" applyFill="1"/>
    <xf numFmtId="5" fontId="2" fillId="0" borderId="42" xfId="0" applyNumberFormat="1" applyFont="1" applyBorder="1"/>
    <xf numFmtId="14" fontId="20" fillId="91" borderId="0" xfId="0" quotePrefix="1" applyNumberFormat="1" applyFont="1" applyFill="1" applyAlignment="1">
      <alignment horizontal="right" vertical="center"/>
    </xf>
    <xf numFmtId="14" fontId="20" fillId="91" borderId="0" xfId="0" applyNumberFormat="1" applyFont="1" applyFill="1" applyAlignment="1">
      <alignment horizontal="right" vertical="center"/>
    </xf>
    <xf numFmtId="10" fontId="2" fillId="0" borderId="33" xfId="0" applyNumberFormat="1" applyFont="1" applyBorder="1"/>
    <xf numFmtId="164" fontId="2" fillId="0" borderId="0" xfId="4" applyNumberFormat="1" applyFont="1"/>
    <xf numFmtId="2" fontId="97" fillId="0" borderId="0" xfId="0" applyNumberFormat="1" applyFont="1" applyAlignment="1">
      <alignment horizontal="left"/>
    </xf>
    <xf numFmtId="5" fontId="97" fillId="0" borderId="0" xfId="0" applyNumberFormat="1" applyFont="1" applyProtection="1">
      <protection locked="0"/>
    </xf>
    <xf numFmtId="10" fontId="97" fillId="91" borderId="0" xfId="1" applyNumberFormat="1" applyFont="1" applyFill="1" applyBorder="1" applyProtection="1">
      <protection locked="0"/>
    </xf>
    <xf numFmtId="2" fontId="98" fillId="0" borderId="0" xfId="0" applyNumberFormat="1" applyFont="1" applyAlignment="1">
      <alignment horizontal="left"/>
    </xf>
    <xf numFmtId="0" fontId="97" fillId="0" borderId="33" xfId="0" applyFont="1" applyBorder="1" applyAlignment="1">
      <alignment horizontal="center" vertical="center" wrapText="1"/>
    </xf>
    <xf numFmtId="5" fontId="97" fillId="0" borderId="33" xfId="8" applyNumberFormat="1" applyFont="1" applyFill="1" applyBorder="1"/>
    <xf numFmtId="0" fontId="97" fillId="0" borderId="33" xfId="0" applyFont="1" applyBorder="1"/>
    <xf numFmtId="0" fontId="97" fillId="0" borderId="0" xfId="6" applyFont="1" applyAlignment="1">
      <alignment horizontal="left"/>
    </xf>
    <xf numFmtId="5" fontId="97" fillId="0" borderId="0" xfId="9" applyNumberFormat="1" applyFont="1" applyFill="1"/>
    <xf numFmtId="165" fontId="2" fillId="0" borderId="0" xfId="0" applyNumberFormat="1" applyFont="1"/>
    <xf numFmtId="5" fontId="2" fillId="0" borderId="0" xfId="9" applyNumberFormat="1" applyFont="1" applyFill="1"/>
    <xf numFmtId="5" fontId="97" fillId="0" borderId="0" xfId="9" applyNumberFormat="1" applyFont="1" applyFill="1" applyBorder="1" applyAlignment="1">
      <alignment horizontal="right"/>
    </xf>
    <xf numFmtId="5" fontId="97" fillId="0" borderId="0" xfId="9" applyNumberFormat="1" applyFont="1" applyBorder="1"/>
    <xf numFmtId="164" fontId="97" fillId="0" borderId="0" xfId="9" applyNumberFormat="1" applyFont="1" applyFill="1" applyBorder="1"/>
    <xf numFmtId="5" fontId="97" fillId="0" borderId="0" xfId="9" applyNumberFormat="1" applyFont="1" applyFill="1" applyBorder="1"/>
    <xf numFmtId="37" fontId="97" fillId="0" borderId="0" xfId="0" quotePrefix="1" applyNumberFormat="1" applyFont="1" applyAlignment="1">
      <alignment horizontal="right"/>
    </xf>
    <xf numFmtId="0" fontId="97" fillId="0" borderId="0" xfId="0" applyFont="1" applyAlignment="1">
      <alignment wrapText="1"/>
    </xf>
    <xf numFmtId="166" fontId="2" fillId="0" borderId="0" xfId="4" applyNumberFormat="1" applyFont="1" applyFill="1"/>
    <xf numFmtId="5" fontId="2" fillId="0" borderId="32" xfId="4" applyNumberFormat="1" applyFont="1" applyFill="1" applyBorder="1"/>
    <xf numFmtId="167" fontId="2" fillId="0" borderId="0" xfId="0" applyNumberFormat="1" applyFont="1"/>
    <xf numFmtId="5" fontId="97" fillId="0" borderId="0" xfId="6" applyNumberFormat="1" applyFont="1" applyAlignment="1">
      <alignment horizontal="right"/>
    </xf>
    <xf numFmtId="200" fontId="2" fillId="0" borderId="0" xfId="0" applyNumberFormat="1" applyFont="1"/>
    <xf numFmtId="0" fontId="20" fillId="0" borderId="32" xfId="47" applyFont="1" applyBorder="1"/>
    <xf numFmtId="0" fontId="20" fillId="0" borderId="32" xfId="47" applyFont="1" applyBorder="1" applyAlignment="1">
      <alignment horizontal="center"/>
    </xf>
    <xf numFmtId="5" fontId="20" fillId="0" borderId="32" xfId="0" applyNumberFormat="1" applyFont="1" applyBorder="1" applyAlignment="1">
      <alignment horizontal="right"/>
    </xf>
    <xf numFmtId="5" fontId="20" fillId="0" borderId="32" xfId="0" quotePrefix="1" applyNumberFormat="1" applyFont="1" applyBorder="1" applyAlignment="1">
      <alignment horizontal="center"/>
    </xf>
    <xf numFmtId="5" fontId="97" fillId="0" borderId="43" xfId="6" applyNumberFormat="1" applyFont="1" applyBorder="1" applyAlignment="1">
      <alignment horizontal="right"/>
    </xf>
    <xf numFmtId="0" fontId="0" fillId="91" borderId="0" xfId="0" applyFill="1" applyAlignment="1">
      <alignment horizontal="left"/>
    </xf>
    <xf numFmtId="10" fontId="0" fillId="0" borderId="32" xfId="1" applyNumberFormat="1" applyFont="1" applyFill="1" applyBorder="1" applyAlignment="1">
      <alignment horizontal="right"/>
    </xf>
    <xf numFmtId="37" fontId="0" fillId="91" borderId="0" xfId="1" applyNumberFormat="1" applyFont="1" applyFill="1" applyAlignment="1">
      <alignment horizontal="right"/>
    </xf>
    <xf numFmtId="37" fontId="0" fillId="91" borderId="32" xfId="1" applyNumberFormat="1" applyFont="1" applyFill="1" applyBorder="1" applyAlignment="1">
      <alignment horizontal="right"/>
    </xf>
    <xf numFmtId="10" fontId="97" fillId="0" borderId="14" xfId="1" applyNumberFormat="1" applyFont="1" applyFill="1" applyBorder="1" applyAlignment="1">
      <alignment horizontal="center"/>
    </xf>
    <xf numFmtId="0" fontId="97" fillId="0" borderId="0" xfId="6" quotePrefix="1" applyFont="1" applyAlignment="1">
      <alignment horizontal="center"/>
    </xf>
    <xf numFmtId="5" fontId="20" fillId="91" borderId="0" xfId="4" applyNumberFormat="1" applyFont="1" applyFill="1" applyBorder="1" applyAlignment="1">
      <alignment horizontal="right" indent="1"/>
    </xf>
    <xf numFmtId="14" fontId="20" fillId="91" borderId="0" xfId="0" applyNumberFormat="1" applyFont="1" applyFill="1" applyAlignment="1">
      <alignment horizontal="center"/>
    </xf>
    <xf numFmtId="43" fontId="0" fillId="0" borderId="0" xfId="0" applyNumberFormat="1"/>
    <xf numFmtId="5" fontId="0" fillId="0" borderId="0" xfId="0" applyNumberFormat="1" applyAlignment="1">
      <alignment horizontal="left"/>
    </xf>
    <xf numFmtId="5" fontId="2" fillId="0" borderId="33" xfId="4" applyNumberFormat="1" applyFont="1" applyFill="1" applyBorder="1"/>
    <xf numFmtId="10" fontId="2" fillId="0" borderId="0" xfId="0" applyNumberFormat="1" applyFont="1" applyAlignment="1">
      <alignment horizontal="right"/>
    </xf>
    <xf numFmtId="5" fontId="0" fillId="0" borderId="32" xfId="4" quotePrefix="1" applyNumberFormat="1" applyFont="1" applyFill="1" applyBorder="1" applyAlignment="1"/>
    <xf numFmtId="0" fontId="20" fillId="0" borderId="0" xfId="6" applyFont="1" applyAlignment="1">
      <alignment horizontal="center" wrapText="1"/>
    </xf>
    <xf numFmtId="164" fontId="20" fillId="0" borderId="0" xfId="9" applyNumberFormat="1" applyFont="1" applyFill="1" applyBorder="1" applyAlignment="1">
      <alignment horizontal="center" wrapText="1"/>
    </xf>
    <xf numFmtId="3" fontId="98" fillId="0" borderId="44" xfId="0" quotePrefix="1" applyNumberFormat="1" applyFont="1" applyBorder="1" applyAlignment="1">
      <alignment horizontal="center"/>
    </xf>
    <xf numFmtId="3" fontId="98" fillId="0" borderId="45" xfId="0" quotePrefix="1" applyNumberFormat="1" applyFont="1" applyBorder="1" applyAlignment="1">
      <alignment horizontal="center"/>
    </xf>
    <xf numFmtId="167" fontId="20" fillId="0" borderId="45" xfId="0" applyNumberFormat="1" applyFont="1" applyBorder="1" applyAlignment="1">
      <alignment horizontal="center"/>
    </xf>
    <xf numFmtId="167" fontId="96" fillId="0" borderId="45" xfId="0" applyNumberFormat="1" applyFont="1" applyBorder="1" applyAlignment="1">
      <alignment horizontal="center"/>
    </xf>
    <xf numFmtId="167" fontId="20" fillId="0" borderId="45" xfId="0" applyNumberFormat="1" applyFont="1" applyBorder="1"/>
    <xf numFmtId="10" fontId="97" fillId="0" borderId="43" xfId="1" applyNumberFormat="1" applyFont="1" applyFill="1" applyBorder="1" applyAlignment="1">
      <alignment horizontal="center"/>
    </xf>
    <xf numFmtId="0" fontId="1" fillId="0" borderId="0" xfId="24911"/>
    <xf numFmtId="0" fontId="110" fillId="0" borderId="0" xfId="47" applyFont="1" applyAlignment="1">
      <alignment horizontal="center"/>
    </xf>
    <xf numFmtId="0" fontId="1" fillId="0" borderId="0" xfId="24911" applyAlignment="1">
      <alignment horizontal="center"/>
    </xf>
    <xf numFmtId="0" fontId="0" fillId="0" borderId="0" xfId="31683" applyFont="1"/>
    <xf numFmtId="0" fontId="97" fillId="0" borderId="32" xfId="31683" applyFont="1" applyBorder="1" applyAlignment="1">
      <alignment horizontal="center"/>
    </xf>
    <xf numFmtId="0" fontId="97" fillId="0" borderId="0" xfId="31683" applyFont="1" applyAlignment="1">
      <alignment horizontal="center"/>
    </xf>
    <xf numFmtId="37" fontId="97" fillId="0" borderId="0" xfId="31683" applyNumberFormat="1" applyFont="1"/>
    <xf numFmtId="37" fontId="97" fillId="0" borderId="0" xfId="31683" applyNumberFormat="1" applyFont="1" applyAlignment="1">
      <alignment horizontal="center"/>
    </xf>
    <xf numFmtId="37" fontId="97" fillId="0" borderId="0" xfId="31683" quotePrefix="1" applyNumberFormat="1" applyFont="1" applyAlignment="1">
      <alignment horizontal="center"/>
    </xf>
    <xf numFmtId="0" fontId="0" fillId="0" borderId="0" xfId="31683" quotePrefix="1" applyFont="1" applyAlignment="1">
      <alignment horizontal="center"/>
    </xf>
    <xf numFmtId="0" fontId="0" fillId="0" borderId="0" xfId="31683" applyFont="1" applyAlignment="1">
      <alignment horizontal="center"/>
    </xf>
    <xf numFmtId="39" fontId="97" fillId="0" borderId="0" xfId="31683" quotePrefix="1" applyNumberFormat="1" applyFont="1" applyAlignment="1">
      <alignment horizontal="center"/>
    </xf>
    <xf numFmtId="0" fontId="0" fillId="0" borderId="26" xfId="31683" applyFont="1" applyBorder="1"/>
    <xf numFmtId="14" fontId="0" fillId="0" borderId="26" xfId="31683" applyNumberFormat="1" applyFont="1" applyBorder="1" applyAlignment="1">
      <alignment horizontal="center"/>
    </xf>
    <xf numFmtId="37" fontId="97" fillId="0" borderId="26" xfId="31683" applyNumberFormat="1" applyFont="1" applyBorder="1" applyAlignment="1">
      <alignment horizontal="center"/>
    </xf>
    <xf numFmtId="204" fontId="97" fillId="0" borderId="26" xfId="31683" applyNumberFormat="1" applyFont="1" applyBorder="1" applyAlignment="1">
      <alignment horizontal="center"/>
    </xf>
    <xf numFmtId="39" fontId="97" fillId="0" borderId="26" xfId="31683" applyNumberFormat="1" applyFont="1" applyBorder="1" applyAlignment="1">
      <alignment horizontal="center"/>
    </xf>
    <xf numFmtId="0" fontId="97" fillId="0" borderId="26" xfId="31683" applyFont="1" applyBorder="1" applyAlignment="1">
      <alignment horizontal="center"/>
    </xf>
    <xf numFmtId="204" fontId="97" fillId="0" borderId="0" xfId="31683" applyNumberFormat="1" applyFont="1" applyAlignment="1">
      <alignment horizontal="center"/>
    </xf>
    <xf numFmtId="39" fontId="97" fillId="0" borderId="0" xfId="31683" applyNumberFormat="1" applyFont="1" applyAlignment="1">
      <alignment horizontal="center"/>
    </xf>
    <xf numFmtId="37" fontId="20" fillId="0" borderId="0" xfId="31683" applyNumberFormat="1" applyFont="1" applyAlignment="1">
      <alignment horizontal="right"/>
    </xf>
    <xf numFmtId="37" fontId="0" fillId="0" borderId="0" xfId="31683" applyNumberFormat="1" applyFont="1"/>
    <xf numFmtId="37" fontId="20" fillId="0" borderId="0" xfId="31683" applyNumberFormat="1" applyFont="1" applyAlignment="1">
      <alignment horizontal="center"/>
    </xf>
    <xf numFmtId="37" fontId="20" fillId="0" borderId="32" xfId="31683" applyNumberFormat="1" applyFont="1" applyBorder="1" applyAlignment="1">
      <alignment horizontal="right"/>
    </xf>
    <xf numFmtId="37" fontId="0" fillId="0" borderId="32" xfId="31683" applyNumberFormat="1" applyFont="1" applyBorder="1"/>
    <xf numFmtId="0" fontId="0" fillId="0" borderId="0" xfId="24911" applyFont="1"/>
    <xf numFmtId="0" fontId="0" fillId="0" borderId="32" xfId="31683" applyFont="1" applyBorder="1"/>
    <xf numFmtId="0" fontId="20" fillId="0" borderId="0" xfId="47" applyFont="1" applyAlignment="1">
      <alignment horizontal="fill"/>
    </xf>
    <xf numFmtId="0" fontId="20" fillId="0" borderId="32" xfId="16013" applyFont="1" applyBorder="1"/>
    <xf numFmtId="0" fontId="0" fillId="0" borderId="0" xfId="31683" applyFont="1" applyAlignment="1">
      <alignment horizontal="right"/>
    </xf>
    <xf numFmtId="37" fontId="2" fillId="0" borderId="0" xfId="31683" applyNumberFormat="1" applyFont="1"/>
    <xf numFmtId="0" fontId="4" fillId="0" borderId="0" xfId="24911" applyFont="1" applyAlignment="1">
      <alignment horizontal="center"/>
    </xf>
    <xf numFmtId="0" fontId="110" fillId="0" borderId="0" xfId="47" applyFont="1"/>
    <xf numFmtId="0" fontId="97" fillId="91" borderId="0" xfId="0" applyFont="1" applyFill="1" applyAlignment="1">
      <alignment horizontal="left"/>
    </xf>
    <xf numFmtId="5" fontId="20" fillId="91" borderId="0" xfId="0" applyNumberFormat="1" applyFont="1" applyFill="1" applyAlignment="1">
      <alignment horizontal="right"/>
    </xf>
    <xf numFmtId="37" fontId="0" fillId="93" borderId="0" xfId="31683" applyNumberFormat="1" applyFont="1" applyFill="1"/>
    <xf numFmtId="0" fontId="0" fillId="93" borderId="0" xfId="31683" applyFont="1" applyFill="1" applyAlignment="1">
      <alignment horizontal="center"/>
    </xf>
    <xf numFmtId="0" fontId="0" fillId="93" borderId="0" xfId="31683" applyFont="1" applyFill="1" applyAlignment="1">
      <alignment horizontal="left"/>
    </xf>
    <xf numFmtId="37" fontId="0" fillId="0" borderId="32" xfId="0" applyNumberFormat="1" applyBorder="1"/>
    <xf numFmtId="5" fontId="20" fillId="91" borderId="0" xfId="7" applyNumberFormat="1" applyFont="1" applyFill="1"/>
    <xf numFmtId="5" fontId="96" fillId="91" borderId="0" xfId="7" applyNumberFormat="1" applyFont="1" applyFill="1"/>
    <xf numFmtId="5" fontId="97" fillId="0" borderId="34" xfId="7" applyNumberFormat="1" applyFont="1" applyBorder="1" applyAlignment="1">
      <alignment vertical="center"/>
    </xf>
    <xf numFmtId="5" fontId="20" fillId="0" borderId="0" xfId="7" applyNumberFormat="1" applyFont="1"/>
    <xf numFmtId="0" fontId="20" fillId="0" borderId="0" xfId="0" applyFont="1" applyAlignment="1">
      <alignment horizontal="right" wrapText="1"/>
    </xf>
    <xf numFmtId="0" fontId="96" fillId="0" borderId="0" xfId="6" quotePrefix="1" applyFont="1" applyAlignment="1">
      <alignment horizontal="center"/>
    </xf>
    <xf numFmtId="0" fontId="97" fillId="0" borderId="33" xfId="6" applyFont="1" applyBorder="1" applyAlignment="1">
      <alignment horizontal="left"/>
    </xf>
    <xf numFmtId="0" fontId="97" fillId="0" borderId="33" xfId="6" quotePrefix="1" applyFont="1" applyBorder="1" applyAlignment="1">
      <alignment horizontal="left"/>
    </xf>
    <xf numFmtId="5" fontId="97" fillId="0" borderId="33" xfId="9" applyNumberFormat="1" applyFont="1" applyFill="1" applyBorder="1"/>
    <xf numFmtId="5" fontId="2" fillId="0" borderId="33" xfId="0" applyNumberFormat="1" applyFont="1" applyBorder="1"/>
    <xf numFmtId="0" fontId="20" fillId="93" borderId="0" xfId="11" applyFont="1" applyFill="1" applyAlignment="1">
      <alignment horizontal="left" vertical="center"/>
    </xf>
    <xf numFmtId="5" fontId="20" fillId="0" borderId="0" xfId="6" applyNumberFormat="1" applyFont="1"/>
    <xf numFmtId="5" fontId="0" fillId="0" borderId="0" xfId="9" applyNumberFormat="1" applyFont="1"/>
    <xf numFmtId="5" fontId="20" fillId="91" borderId="0" xfId="9" applyNumberFormat="1" applyFont="1" applyFill="1"/>
    <xf numFmtId="6" fontId="20" fillId="91" borderId="0" xfId="4" applyNumberFormat="1" applyFont="1" applyFill="1"/>
    <xf numFmtId="164" fontId="20" fillId="0" borderId="46" xfId="47" applyNumberFormat="1" applyFont="1" applyBorder="1"/>
    <xf numFmtId="164" fontId="96" fillId="0" borderId="46" xfId="47" applyNumberFormat="1" applyFont="1" applyBorder="1"/>
    <xf numFmtId="164" fontId="96" fillId="0" borderId="0" xfId="47" applyNumberFormat="1" applyFont="1" applyAlignment="1">
      <alignment horizontal="right"/>
    </xf>
    <xf numFmtId="166" fontId="20" fillId="0" borderId="0" xfId="4" applyNumberFormat="1" applyFont="1"/>
    <xf numFmtId="0" fontId="0" fillId="0" borderId="6" xfId="47" applyFont="1" applyBorder="1" applyAlignment="1">
      <alignment horizontal="right"/>
    </xf>
    <xf numFmtId="5" fontId="97" fillId="0" borderId="33" xfId="47" applyNumberFormat="1" applyFont="1" applyBorder="1"/>
    <xf numFmtId="0" fontId="0" fillId="0" borderId="0" xfId="47" applyFont="1" applyAlignment="1">
      <alignment horizontal="left" indent="1"/>
    </xf>
    <xf numFmtId="167" fontId="104" fillId="0" borderId="0" xfId="47" applyNumberFormat="1" applyFont="1" applyAlignment="1">
      <alignment horizontal="left"/>
    </xf>
    <xf numFmtId="166" fontId="20" fillId="0" borderId="0" xfId="47" applyNumberFormat="1" applyFont="1"/>
    <xf numFmtId="0" fontId="20" fillId="0" borderId="32" xfId="47" applyFont="1" applyBorder="1" applyAlignment="1">
      <alignment horizontal="right"/>
    </xf>
    <xf numFmtId="5" fontId="97" fillId="0" borderId="32" xfId="47" applyNumberFormat="1" applyFont="1" applyBorder="1"/>
    <xf numFmtId="0" fontId="20" fillId="0" borderId="32" xfId="47" applyFont="1" applyBorder="1" applyAlignment="1">
      <alignment horizontal="left" indent="1"/>
    </xf>
    <xf numFmtId="164" fontId="20" fillId="0" borderId="47" xfId="47" applyNumberFormat="1" applyFont="1" applyBorder="1"/>
    <xf numFmtId="0" fontId="20" fillId="0" borderId="33" xfId="47" applyFont="1" applyBorder="1" applyAlignment="1">
      <alignment horizontal="right"/>
    </xf>
    <xf numFmtId="164" fontId="20" fillId="0" borderId="33" xfId="47" applyNumberFormat="1" applyFont="1" applyBorder="1"/>
    <xf numFmtId="0" fontId="20" fillId="0" borderId="33" xfId="47" applyFont="1" applyBorder="1" applyAlignment="1">
      <alignment horizontal="left" indent="1"/>
    </xf>
    <xf numFmtId="164" fontId="20" fillId="0" borderId="37" xfId="47" applyNumberFormat="1" applyFont="1" applyBorder="1"/>
    <xf numFmtId="5" fontId="97" fillId="0" borderId="15" xfId="47" applyNumberFormat="1" applyFont="1" applyBorder="1"/>
    <xf numFmtId="164" fontId="96" fillId="0" borderId="47" xfId="47" applyNumberFormat="1" applyFont="1" applyBorder="1"/>
    <xf numFmtId="164" fontId="97" fillId="0" borderId="0" xfId="47" applyNumberFormat="1" applyFont="1"/>
    <xf numFmtId="164" fontId="96" fillId="0" borderId="37" xfId="47" applyNumberFormat="1" applyFont="1" applyBorder="1"/>
    <xf numFmtId="5" fontId="97" fillId="91" borderId="0" xfId="47" applyNumberFormat="1" applyFont="1" applyFill="1"/>
    <xf numFmtId="5" fontId="20" fillId="91" borderId="0" xfId="4" applyNumberFormat="1" applyFont="1" applyFill="1"/>
    <xf numFmtId="10" fontId="0" fillId="93" borderId="0" xfId="1" applyNumberFormat="1" applyFont="1" applyFill="1"/>
    <xf numFmtId="10" fontId="0" fillId="93" borderId="0" xfId="31678" applyNumberFormat="1" applyFont="1" applyFill="1"/>
    <xf numFmtId="37" fontId="97" fillId="0" borderId="0" xfId="31683" applyNumberFormat="1" applyFont="1" applyAlignment="1">
      <alignment horizontal="right"/>
    </xf>
    <xf numFmtId="0" fontId="97" fillId="0" borderId="0" xfId="31683" applyFont="1" applyAlignment="1">
      <alignment horizontal="right"/>
    </xf>
    <xf numFmtId="42" fontId="20" fillId="91" borderId="0" xfId="4" applyNumberFormat="1" applyFont="1" applyFill="1"/>
    <xf numFmtId="5" fontId="20" fillId="0" borderId="32" xfId="4" applyNumberFormat="1" applyFont="1" applyFill="1" applyBorder="1"/>
    <xf numFmtId="5" fontId="0" fillId="91" borderId="0" xfId="1" applyNumberFormat="1" applyFont="1" applyFill="1" applyAlignment="1">
      <alignment horizontal="right"/>
    </xf>
    <xf numFmtId="5" fontId="0" fillId="93" borderId="0" xfId="4" applyNumberFormat="1" applyFont="1" applyFill="1"/>
    <xf numFmtId="7" fontId="2" fillId="0" borderId="0" xfId="0" applyNumberFormat="1" applyFont="1" applyAlignment="1">
      <alignment horizontal="right"/>
    </xf>
    <xf numFmtId="10" fontId="2" fillId="0" borderId="32" xfId="0" applyNumberFormat="1" applyFont="1" applyBorder="1" applyAlignment="1">
      <alignment horizontal="right"/>
    </xf>
    <xf numFmtId="5" fontId="2" fillId="0" borderId="33" xfId="4" applyNumberFormat="1" applyFont="1" applyBorder="1"/>
    <xf numFmtId="5" fontId="20" fillId="0" borderId="32" xfId="6" applyNumberFormat="1" applyFont="1" applyBorder="1" applyAlignment="1">
      <alignment horizontal="right"/>
    </xf>
    <xf numFmtId="5" fontId="20" fillId="0" borderId="42" xfId="6" applyNumberFormat="1" applyFont="1" applyBorder="1" applyAlignment="1">
      <alignment horizontal="right"/>
    </xf>
    <xf numFmtId="0" fontId="2" fillId="91" borderId="0" xfId="0" applyFont="1" applyFill="1" applyAlignment="1">
      <alignment horizontal="center"/>
    </xf>
    <xf numFmtId="0" fontId="97" fillId="91" borderId="8" xfId="0" applyFont="1" applyFill="1" applyBorder="1" applyAlignment="1">
      <alignment horizontal="center" wrapText="1"/>
    </xf>
    <xf numFmtId="0" fontId="2" fillId="91" borderId="0" xfId="0" applyFont="1" applyFill="1" applyAlignment="1">
      <alignment horizontal="center" vertical="center"/>
    </xf>
    <xf numFmtId="0" fontId="20" fillId="91" borderId="32" xfId="0" applyFont="1" applyFill="1" applyBorder="1"/>
    <xf numFmtId="10" fontId="0" fillId="91" borderId="0" xfId="0" applyNumberFormat="1" applyFill="1"/>
    <xf numFmtId="0" fontId="97" fillId="91" borderId="8" xfId="0" applyFont="1" applyFill="1" applyBorder="1" applyAlignment="1">
      <alignment horizontal="center"/>
    </xf>
    <xf numFmtId="0" fontId="20" fillId="93" borderId="0" xfId="47" applyFont="1" applyFill="1"/>
    <xf numFmtId="0" fontId="2" fillId="0" borderId="15" xfId="0" applyFont="1" applyBorder="1" applyAlignment="1">
      <alignment horizontal="center"/>
    </xf>
    <xf numFmtId="0" fontId="0" fillId="0" borderId="32" xfId="0" applyBorder="1" applyAlignment="1">
      <alignment horizontal="left"/>
    </xf>
    <xf numFmtId="5" fontId="0" fillId="0" borderId="32" xfId="8" applyNumberFormat="1" applyFont="1" applyBorder="1"/>
    <xf numFmtId="197" fontId="4" fillId="0" borderId="0" xfId="0" applyNumberFormat="1" applyFont="1" applyAlignment="1">
      <alignment horizontal="center"/>
    </xf>
    <xf numFmtId="0" fontId="2" fillId="0" borderId="0" xfId="0" applyFont="1" applyAlignment="1">
      <alignment horizontal="centerContinuous"/>
    </xf>
    <xf numFmtId="0" fontId="2" fillId="0" borderId="32" xfId="0" applyFont="1" applyBorder="1" applyAlignment="1">
      <alignment horizontal="centerContinuous"/>
    </xf>
    <xf numFmtId="37" fontId="0" fillId="0" borderId="32" xfId="0" applyNumberFormat="1" applyBorder="1" applyAlignment="1">
      <alignment horizontal="center"/>
    </xf>
    <xf numFmtId="39" fontId="0" fillId="0" borderId="32" xfId="8" applyNumberFormat="1" applyFont="1" applyFill="1" applyBorder="1"/>
    <xf numFmtId="0" fontId="2" fillId="0" borderId="0" xfId="0" applyFont="1" applyAlignment="1">
      <alignment horizontal="center" vertical="center"/>
    </xf>
    <xf numFmtId="0" fontId="0" fillId="91" borderId="0" xfId="47" applyFont="1" applyFill="1" applyAlignment="1">
      <alignment horizontal="left" indent="1"/>
    </xf>
    <xf numFmtId="0" fontId="2" fillId="0" borderId="0" xfId="0" applyFont="1" applyAlignment="1">
      <alignment wrapText="1"/>
    </xf>
    <xf numFmtId="0" fontId="20" fillId="91" borderId="0" xfId="47" applyFont="1" applyFill="1" applyAlignment="1">
      <alignment horizontal="right"/>
    </xf>
    <xf numFmtId="0" fontId="20" fillId="91" borderId="6" xfId="47" applyFont="1" applyFill="1" applyBorder="1"/>
    <xf numFmtId="0" fontId="0" fillId="94" borderId="0" xfId="0" applyFill="1"/>
    <xf numFmtId="5" fontId="20" fillId="91" borderId="34" xfId="0" applyNumberFormat="1" applyFont="1" applyFill="1" applyBorder="1"/>
    <xf numFmtId="0" fontId="97" fillId="0" borderId="46" xfId="47" applyFont="1" applyBorder="1" applyAlignment="1">
      <alignment horizontal="center"/>
    </xf>
    <xf numFmtId="167" fontId="97" fillId="0" borderId="46" xfId="47" applyNumberFormat="1" applyFont="1" applyBorder="1" applyAlignment="1">
      <alignment horizontal="center"/>
    </xf>
    <xf numFmtId="0" fontId="20" fillId="93" borderId="0" xfId="47" applyFont="1" applyFill="1" applyAlignment="1">
      <alignment horizontal="right"/>
    </xf>
    <xf numFmtId="10" fontId="20" fillId="0" borderId="0" xfId="1" applyNumberFormat="1" applyFont="1" applyBorder="1"/>
    <xf numFmtId="0" fontId="20" fillId="0" borderId="0" xfId="6" applyFont="1" applyAlignment="1">
      <alignment horizontal="left" wrapText="1"/>
    </xf>
    <xf numFmtId="0" fontId="20" fillId="0" borderId="0" xfId="31683" applyFont="1"/>
    <xf numFmtId="0" fontId="1" fillId="0" borderId="0" xfId="31685" applyAlignment="1">
      <alignment horizontal="center" vertical="top"/>
    </xf>
    <xf numFmtId="0" fontId="5" fillId="0" borderId="0" xfId="31685" applyFont="1" applyAlignment="1">
      <alignment horizontal="right" vertical="top"/>
    </xf>
    <xf numFmtId="0" fontId="5" fillId="0" borderId="0" xfId="31685" applyFont="1"/>
    <xf numFmtId="0" fontId="20" fillId="0" borderId="0" xfId="31683" applyFont="1" applyAlignment="1">
      <alignment horizontal="center"/>
    </xf>
    <xf numFmtId="0" fontId="20" fillId="0" borderId="26" xfId="31683" applyFont="1" applyBorder="1"/>
    <xf numFmtId="14" fontId="20" fillId="0" borderId="26" xfId="31683" applyNumberFormat="1" applyFont="1" applyBorder="1" applyAlignment="1">
      <alignment horizontal="center"/>
    </xf>
    <xf numFmtId="37" fontId="97" fillId="0" borderId="0" xfId="31683" quotePrefix="1" applyNumberFormat="1" applyFont="1" applyAlignment="1">
      <alignment horizontal="center" wrapText="1"/>
    </xf>
    <xf numFmtId="0" fontId="1" fillId="0" borderId="0" xfId="31685"/>
    <xf numFmtId="0" fontId="5" fillId="0" borderId="32" xfId="31685" applyFont="1" applyBorder="1" applyAlignment="1">
      <alignment horizontal="center"/>
    </xf>
    <xf numFmtId="37" fontId="20" fillId="0" borderId="0" xfId="31683" applyNumberFormat="1" applyFont="1"/>
    <xf numFmtId="37" fontId="5" fillId="0" borderId="0" xfId="31685" applyNumberFormat="1" applyFont="1" applyAlignment="1">
      <alignment horizontal="center"/>
    </xf>
    <xf numFmtId="37" fontId="5" fillId="0" borderId="0" xfId="31685" applyNumberFormat="1" applyFont="1"/>
    <xf numFmtId="0" fontId="5" fillId="0" borderId="0" xfId="31685" applyFont="1" applyAlignment="1">
      <alignment horizontal="center"/>
    </xf>
    <xf numFmtId="0" fontId="5" fillId="0" borderId="32" xfId="31685" applyFont="1" applyBorder="1"/>
    <xf numFmtId="0" fontId="97" fillId="0" borderId="15" xfId="31683" applyFont="1" applyBorder="1" applyAlignment="1">
      <alignment horizontal="center"/>
    </xf>
    <xf numFmtId="0" fontId="6" fillId="0" borderId="0" xfId="31685" applyFont="1" applyAlignment="1">
      <alignment horizontal="center"/>
    </xf>
    <xf numFmtId="0" fontId="6" fillId="0" borderId="0" xfId="31685" applyFont="1" applyAlignment="1">
      <alignment horizontal="center" wrapText="1"/>
    </xf>
    <xf numFmtId="203" fontId="20" fillId="0" borderId="0" xfId="31683" applyNumberFormat="1" applyFont="1" applyAlignment="1">
      <alignment horizontal="center"/>
    </xf>
    <xf numFmtId="37" fontId="20" fillId="0" borderId="32" xfId="31683" applyNumberFormat="1" applyFont="1" applyBorder="1"/>
    <xf numFmtId="0" fontId="5" fillId="0" borderId="0" xfId="24911" applyFont="1"/>
    <xf numFmtId="37" fontId="20" fillId="93" borderId="0" xfId="31683" applyNumberFormat="1" applyFont="1" applyFill="1"/>
    <xf numFmtId="37" fontId="116" fillId="0" borderId="0" xfId="31683" quotePrefix="1" applyNumberFormat="1" applyFont="1" applyAlignment="1">
      <alignment horizontal="center"/>
    </xf>
    <xf numFmtId="0" fontId="20" fillId="0" borderId="0" xfId="31683" quotePrefix="1" applyFont="1" applyAlignment="1">
      <alignment horizontal="center"/>
    </xf>
    <xf numFmtId="0" fontId="98" fillId="0" borderId="0" xfId="31685" applyFont="1" applyAlignment="1">
      <alignment horizontal="center"/>
    </xf>
    <xf numFmtId="0" fontId="20" fillId="0" borderId="0" xfId="31685" applyFont="1"/>
    <xf numFmtId="0" fontId="20" fillId="0" borderId="32" xfId="31683" applyFont="1" applyBorder="1"/>
    <xf numFmtId="0" fontId="20" fillId="93" borderId="0" xfId="31683" applyFont="1" applyFill="1" applyAlignment="1">
      <alignment horizontal="left"/>
    </xf>
    <xf numFmtId="0" fontId="20" fillId="93" borderId="0" xfId="31683" applyFont="1" applyFill="1" applyAlignment="1">
      <alignment horizontal="center"/>
    </xf>
    <xf numFmtId="0" fontId="20" fillId="0" borderId="0" xfId="31683" applyFont="1" applyAlignment="1">
      <alignment horizontal="right"/>
    </xf>
    <xf numFmtId="0" fontId="5" fillId="0" borderId="0" xfId="31685" applyFont="1" applyAlignment="1">
      <alignment wrapText="1"/>
    </xf>
    <xf numFmtId="199" fontId="20" fillId="0" borderId="0" xfId="2" applyNumberFormat="1" applyFont="1" applyFill="1" applyBorder="1"/>
    <xf numFmtId="0" fontId="98" fillId="0" borderId="0" xfId="0" applyFont="1" applyAlignment="1">
      <alignment horizontal="right"/>
    </xf>
    <xf numFmtId="0" fontId="109" fillId="0" borderId="0" xfId="0" applyFont="1"/>
    <xf numFmtId="0" fontId="96" fillId="0" borderId="0" xfId="0" applyFont="1" applyAlignment="1">
      <alignment horizontal="center"/>
    </xf>
    <xf numFmtId="0" fontId="97" fillId="0" borderId="32" xfId="0" applyFont="1" applyBorder="1" applyAlignment="1">
      <alignment horizontal="right"/>
    </xf>
    <xf numFmtId="164" fontId="20" fillId="0" borderId="32" xfId="0" applyNumberFormat="1" applyFont="1" applyBorder="1"/>
    <xf numFmtId="3" fontId="20" fillId="0" borderId="32" xfId="0" applyNumberFormat="1" applyFont="1" applyBorder="1"/>
    <xf numFmtId="164" fontId="20" fillId="0" borderId="32" xfId="0" applyNumberFormat="1" applyFont="1" applyBorder="1" applyAlignment="1">
      <alignment horizontal="left"/>
    </xf>
    <xf numFmtId="202" fontId="97" fillId="0" borderId="32" xfId="0" applyNumberFormat="1" applyFont="1" applyBorder="1"/>
    <xf numFmtId="0" fontId="97" fillId="0" borderId="32" xfId="0" quotePrefix="1" applyFont="1" applyBorder="1" applyAlignment="1">
      <alignment horizontal="left"/>
    </xf>
    <xf numFmtId="202" fontId="20" fillId="0" borderId="32" xfId="0" applyNumberFormat="1" applyFont="1" applyBorder="1" applyAlignment="1">
      <alignment horizontal="center"/>
    </xf>
    <xf numFmtId="164" fontId="20" fillId="0" borderId="0" xfId="0" applyNumberFormat="1" applyFont="1" applyAlignment="1">
      <alignment horizontal="left"/>
    </xf>
    <xf numFmtId="202" fontId="97" fillId="0" borderId="0" xfId="0" applyNumberFormat="1" applyFont="1"/>
    <xf numFmtId="3" fontId="20" fillId="91" borderId="0" xfId="0" applyNumberFormat="1" applyFont="1" applyFill="1"/>
    <xf numFmtId="199" fontId="97" fillId="0" borderId="0" xfId="0" applyNumberFormat="1" applyFont="1"/>
    <xf numFmtId="202" fontId="20" fillId="0" borderId="0" xfId="0" applyNumberFormat="1" applyFont="1" applyAlignment="1">
      <alignment horizontal="center"/>
    </xf>
    <xf numFmtId="0" fontId="97" fillId="0" borderId="32" xfId="0" applyFont="1" applyBorder="1"/>
    <xf numFmtId="199" fontId="97" fillId="0" borderId="32" xfId="0" applyNumberFormat="1" applyFont="1" applyBorder="1"/>
    <xf numFmtId="0" fontId="20" fillId="0" borderId="32" xfId="0" applyFont="1" applyBorder="1" applyAlignment="1">
      <alignment horizontal="center"/>
    </xf>
    <xf numFmtId="164" fontId="103" fillId="0" borderId="0" xfId="0" applyNumberFormat="1" applyFont="1"/>
    <xf numFmtId="202" fontId="20" fillId="0" borderId="0" xfId="31682" applyNumberFormat="1" applyFont="1" applyAlignment="1">
      <alignment horizontal="center"/>
    </xf>
    <xf numFmtId="0" fontId="97" fillId="0" borderId="0" xfId="0" quotePrefix="1" applyFont="1" applyAlignment="1">
      <alignment horizontal="left"/>
    </xf>
    <xf numFmtId="0" fontId="20" fillId="0" borderId="0" xfId="31682" applyFont="1" applyAlignment="1">
      <alignment horizontal="center"/>
    </xf>
    <xf numFmtId="202" fontId="20" fillId="0" borderId="32" xfId="31682" applyNumberFormat="1" applyFont="1" applyBorder="1" applyAlignment="1">
      <alignment horizontal="center"/>
    </xf>
    <xf numFmtId="167" fontId="106" fillId="0" borderId="0" xfId="0" applyNumberFormat="1" applyFont="1"/>
    <xf numFmtId="167" fontId="103" fillId="0" borderId="0" xfId="0" applyNumberFormat="1" applyFont="1"/>
    <xf numFmtId="164" fontId="103" fillId="0" borderId="0" xfId="0" applyNumberFormat="1" applyFont="1" applyAlignment="1">
      <alignment horizontal="right"/>
    </xf>
    <xf numFmtId="202" fontId="20" fillId="0" borderId="0" xfId="0" applyNumberFormat="1" applyFont="1"/>
    <xf numFmtId="164" fontId="97" fillId="0" borderId="0" xfId="0" applyNumberFormat="1" applyFont="1"/>
    <xf numFmtId="164" fontId="107" fillId="0" borderId="0" xfId="0" applyNumberFormat="1" applyFont="1"/>
    <xf numFmtId="3" fontId="20" fillId="0" borderId="0" xfId="0" quotePrefix="1" applyNumberFormat="1" applyFont="1" applyAlignment="1">
      <alignment horizontal="center"/>
    </xf>
    <xf numFmtId="3" fontId="20" fillId="0" borderId="45" xfId="0" quotePrefix="1" applyNumberFormat="1" applyFont="1" applyBorder="1" applyAlignment="1">
      <alignment horizontal="center"/>
    </xf>
    <xf numFmtId="3" fontId="20" fillId="0" borderId="0" xfId="0" quotePrefix="1" applyNumberFormat="1" applyFont="1" applyAlignment="1">
      <alignment horizontal="center" vertical="center"/>
    </xf>
    <xf numFmtId="0" fontId="20" fillId="0" borderId="0" xfId="0" quotePrefix="1" applyFont="1" applyAlignment="1">
      <alignment horizontal="center" vertical="center" wrapText="1"/>
    </xf>
    <xf numFmtId="3" fontId="96" fillId="0" borderId="0" xfId="0" applyNumberFormat="1" applyFont="1" applyAlignment="1">
      <alignment horizontal="center"/>
    </xf>
    <xf numFmtId="203" fontId="96" fillId="0" borderId="0" xfId="0" applyNumberFormat="1" applyFont="1" applyAlignment="1">
      <alignment horizontal="center"/>
    </xf>
    <xf numFmtId="167" fontId="96" fillId="0" borderId="0" xfId="0" applyNumberFormat="1" applyFont="1" applyAlignment="1">
      <alignment horizontal="center"/>
    </xf>
    <xf numFmtId="203" fontId="20" fillId="91" borderId="0" xfId="0" applyNumberFormat="1" applyFont="1" applyFill="1" applyAlignment="1">
      <alignment horizontal="center"/>
    </xf>
    <xf numFmtId="3" fontId="20" fillId="0" borderId="0" xfId="0" applyNumberFormat="1" applyFont="1" applyAlignment="1">
      <alignment horizontal="right"/>
    </xf>
    <xf numFmtId="10" fontId="20" fillId="0" borderId="0" xfId="31682" applyNumberFormat="1" applyFont="1" applyAlignment="1">
      <alignment horizontal="center"/>
    </xf>
    <xf numFmtId="10" fontId="20" fillId="0" borderId="45" xfId="31682" applyNumberFormat="1" applyFont="1" applyBorder="1" applyAlignment="1">
      <alignment horizontal="center"/>
    </xf>
    <xf numFmtId="10" fontId="20" fillId="0" borderId="0" xfId="0" applyNumberFormat="1" applyFont="1" applyAlignment="1">
      <alignment horizontal="center"/>
    </xf>
    <xf numFmtId="10" fontId="97" fillId="0" borderId="0" xfId="0" applyNumberFormat="1" applyFont="1" applyAlignment="1">
      <alignment horizontal="center"/>
    </xf>
    <xf numFmtId="10" fontId="97" fillId="0" borderId="45" xfId="31682" applyNumberFormat="1" applyFont="1" applyBorder="1" applyAlignment="1">
      <alignment horizontal="center"/>
    </xf>
    <xf numFmtId="10" fontId="108" fillId="0" borderId="0" xfId="0" applyNumberFormat="1" applyFont="1" applyAlignment="1">
      <alignment horizontal="center"/>
    </xf>
    <xf numFmtId="10" fontId="108" fillId="0" borderId="45" xfId="31682" applyNumberFormat="1" applyFont="1" applyBorder="1" applyAlignment="1">
      <alignment horizontal="center"/>
    </xf>
    <xf numFmtId="10" fontId="97" fillId="0" borderId="0" xfId="1" applyNumberFormat="1" applyFont="1" applyFill="1" applyBorder="1" applyAlignment="1">
      <alignment horizontal="center"/>
    </xf>
    <xf numFmtId="10" fontId="20" fillId="91" borderId="45" xfId="31682" applyNumberFormat="1" applyFont="1" applyFill="1" applyBorder="1" applyAlignment="1">
      <alignment horizontal="center"/>
    </xf>
    <xf numFmtId="10" fontId="20" fillId="0" borderId="45" xfId="0" applyNumberFormat="1" applyFont="1" applyBorder="1" applyAlignment="1">
      <alignment horizontal="center"/>
    </xf>
    <xf numFmtId="10" fontId="108" fillId="0" borderId="45" xfId="0" applyNumberFormat="1" applyFont="1" applyBorder="1" applyAlignment="1">
      <alignment horizontal="center"/>
    </xf>
    <xf numFmtId="0" fontId="97" fillId="0" borderId="14" xfId="0" applyFont="1" applyBorder="1"/>
    <xf numFmtId="3" fontId="97" fillId="0" borderId="14" xfId="0" applyNumberFormat="1" applyFont="1" applyBorder="1"/>
    <xf numFmtId="5" fontId="97" fillId="0" borderId="48" xfId="0" applyNumberFormat="1" applyFont="1" applyBorder="1"/>
    <xf numFmtId="5" fontId="20" fillId="91" borderId="32" xfId="0" applyNumberFormat="1" applyFont="1" applyFill="1" applyBorder="1"/>
    <xf numFmtId="167" fontId="0" fillId="0" borderId="32" xfId="1" applyNumberFormat="1" applyFont="1" applyFill="1" applyBorder="1"/>
    <xf numFmtId="42" fontId="0" fillId="0" borderId="0" xfId="4" applyNumberFormat="1" applyFont="1" applyFill="1"/>
    <xf numFmtId="0" fontId="100" fillId="91" borderId="0" xfId="0" applyFont="1" applyFill="1" applyAlignment="1">
      <alignment horizontal="center"/>
    </xf>
    <xf numFmtId="0" fontId="100" fillId="91" borderId="0" xfId="0" applyFont="1" applyFill="1"/>
    <xf numFmtId="5" fontId="0" fillId="93" borderId="32" xfId="4" applyNumberFormat="1" applyFont="1" applyFill="1" applyBorder="1"/>
    <xf numFmtId="166" fontId="0" fillId="93" borderId="32" xfId="4" applyNumberFormat="1" applyFont="1" applyFill="1" applyBorder="1"/>
    <xf numFmtId="166" fontId="0" fillId="93" borderId="0" xfId="4" applyNumberFormat="1" applyFont="1" applyFill="1"/>
    <xf numFmtId="43" fontId="20" fillId="91" borderId="0" xfId="47" applyNumberFormat="1" applyFont="1" applyFill="1"/>
    <xf numFmtId="0" fontId="20" fillId="91" borderId="0" xfId="0" applyFont="1" applyFill="1" applyAlignment="1">
      <alignment horizontal="right"/>
    </xf>
    <xf numFmtId="37" fontId="0" fillId="0" borderId="0" xfId="1" applyNumberFormat="1" applyFont="1" applyFill="1" applyAlignment="1">
      <alignment horizontal="right"/>
    </xf>
    <xf numFmtId="6" fontId="0" fillId="0" borderId="0" xfId="2" applyNumberFormat="1" applyFont="1"/>
    <xf numFmtId="0" fontId="97" fillId="0" borderId="0" xfId="47" applyFont="1" applyAlignment="1">
      <alignment horizontal="left" indent="1"/>
    </xf>
    <xf numFmtId="0" fontId="20" fillId="0" borderId="0" xfId="8" applyNumberFormat="1" applyFont="1" applyFill="1" applyBorder="1" applyAlignment="1">
      <alignment horizontal="center"/>
    </xf>
    <xf numFmtId="5" fontId="0" fillId="91" borderId="32" xfId="0" applyNumberFormat="1" applyFill="1" applyBorder="1"/>
    <xf numFmtId="205" fontId="0" fillId="0" borderId="0" xfId="4" applyNumberFormat="1" applyFont="1"/>
    <xf numFmtId="206" fontId="0" fillId="0" borderId="0" xfId="2" applyNumberFormat="1" applyFont="1"/>
    <xf numFmtId="44" fontId="20" fillId="0" borderId="0" xfId="0" applyNumberFormat="1" applyFont="1" applyAlignment="1">
      <alignment horizontal="left"/>
    </xf>
    <xf numFmtId="44" fontId="20" fillId="92" borderId="0" xfId="0" applyNumberFormat="1" applyFont="1" applyFill="1" applyAlignment="1">
      <alignment horizontal="left"/>
    </xf>
    <xf numFmtId="5" fontId="97" fillId="0" borderId="0" xfId="4" applyNumberFormat="1" applyFont="1"/>
    <xf numFmtId="0" fontId="94" fillId="0" borderId="0" xfId="0" applyFont="1" applyAlignment="1">
      <alignment horizontal="center"/>
    </xf>
    <xf numFmtId="0" fontId="95" fillId="0" borderId="0" xfId="0" applyFont="1" applyAlignment="1">
      <alignment horizontal="center"/>
    </xf>
    <xf numFmtId="0" fontId="2" fillId="0" borderId="0" xfId="0" applyFont="1" applyAlignment="1">
      <alignment horizontal="center"/>
    </xf>
    <xf numFmtId="0" fontId="0" fillId="0" borderId="37" xfId="0" applyBorder="1" applyAlignment="1">
      <alignment horizontal="left" wrapText="1"/>
    </xf>
    <xf numFmtId="0" fontId="0" fillId="0" borderId="47" xfId="0" applyBorder="1" applyAlignment="1">
      <alignment horizontal="left" wrapText="1"/>
    </xf>
    <xf numFmtId="0" fontId="0" fillId="0" borderId="0" xfId="0" applyAlignment="1">
      <alignment horizontal="left" wrapText="1"/>
    </xf>
    <xf numFmtId="0" fontId="0" fillId="0" borderId="0" xfId="0" applyAlignment="1">
      <alignment horizontal="left"/>
    </xf>
    <xf numFmtId="5" fontId="0" fillId="0" borderId="0" xfId="4" applyNumberFormat="1" applyFont="1" applyAlignment="1">
      <alignment horizontal="left"/>
    </xf>
    <xf numFmtId="0" fontId="0" fillId="0" borderId="0" xfId="0" applyAlignment="1">
      <alignment horizontal="left" vertical="top" wrapText="1"/>
    </xf>
    <xf numFmtId="0" fontId="20" fillId="0" borderId="0" xfId="0" applyFont="1" applyAlignment="1">
      <alignment horizontal="left" wrapText="1"/>
    </xf>
    <xf numFmtId="0" fontId="20" fillId="0" borderId="0" xfId="0" applyFont="1" applyAlignment="1">
      <alignment horizontal="left"/>
    </xf>
    <xf numFmtId="0" fontId="20" fillId="0" borderId="0" xfId="47" applyFont="1" applyAlignment="1">
      <alignment horizontal="left"/>
    </xf>
    <xf numFmtId="0" fontId="20" fillId="91" borderId="0" xfId="0" applyFont="1" applyFill="1" applyAlignment="1">
      <alignment horizontal="left"/>
    </xf>
    <xf numFmtId="0" fontId="97" fillId="0" borderId="0" xfId="6" applyFont="1" applyAlignment="1">
      <alignment horizontal="center"/>
    </xf>
    <xf numFmtId="0" fontId="97" fillId="37" borderId="49" xfId="0" applyFont="1" applyFill="1" applyBorder="1" applyAlignment="1">
      <alignment horizontal="center"/>
    </xf>
    <xf numFmtId="0" fontId="97" fillId="37" borderId="15" xfId="0" applyFont="1" applyFill="1" applyBorder="1" applyAlignment="1">
      <alignment horizontal="center"/>
    </xf>
    <xf numFmtId="0" fontId="97" fillId="37" borderId="50" xfId="0" applyFont="1" applyFill="1" applyBorder="1" applyAlignment="1">
      <alignment horizontal="center"/>
    </xf>
    <xf numFmtId="0" fontId="97" fillId="0" borderId="32" xfId="0" applyFont="1" applyBorder="1" applyAlignment="1">
      <alignment horizontal="center"/>
    </xf>
    <xf numFmtId="0" fontId="2" fillId="0" borderId="32" xfId="0" applyFont="1" applyBorder="1" applyAlignment="1">
      <alignment horizontal="center"/>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horizontal="left" vertical="center" wrapText="1"/>
    </xf>
    <xf numFmtId="0" fontId="100" fillId="0" borderId="0" xfId="0" applyFont="1" applyAlignment="1">
      <alignment wrapText="1"/>
    </xf>
    <xf numFmtId="0" fontId="0" fillId="0" borderId="0" xfId="0" applyAlignment="1">
      <alignment wrapText="1"/>
    </xf>
    <xf numFmtId="0" fontId="1" fillId="0" borderId="32" xfId="24911" applyBorder="1" applyAlignment="1">
      <alignment horizontal="center"/>
    </xf>
    <xf numFmtId="37" fontId="97" fillId="0" borderId="15" xfId="31683" applyNumberFormat="1" applyFont="1" applyBorder="1" applyAlignment="1">
      <alignment horizontal="center"/>
    </xf>
    <xf numFmtId="0" fontId="111" fillId="0" borderId="15" xfId="0" applyFont="1" applyBorder="1" applyAlignment="1">
      <alignment horizontal="center" vertical="center" wrapText="1"/>
    </xf>
    <xf numFmtId="0" fontId="5" fillId="0" borderId="0" xfId="31685" applyFont="1" applyAlignment="1">
      <alignment horizontal="left" wrapText="1"/>
    </xf>
    <xf numFmtId="0" fontId="1" fillId="0" borderId="0" xfId="31685" applyAlignment="1">
      <alignment horizontal="left" wrapText="1"/>
    </xf>
    <xf numFmtId="0" fontId="5" fillId="0" borderId="32" xfId="31685" applyFont="1" applyBorder="1" applyAlignment="1">
      <alignment horizontal="center"/>
    </xf>
    <xf numFmtId="0" fontId="117" fillId="0" borderId="15" xfId="0" applyFont="1" applyBorder="1" applyAlignment="1">
      <alignment horizontal="center" vertical="center" wrapText="1"/>
    </xf>
    <xf numFmtId="0" fontId="5" fillId="0" borderId="0" xfId="31685" applyFont="1" applyAlignment="1">
      <alignment horizontal="left"/>
    </xf>
    <xf numFmtId="0" fontId="2" fillId="0" borderId="49" xfId="0" applyFont="1" applyBorder="1" applyAlignment="1">
      <alignment horizontal="center"/>
    </xf>
    <xf numFmtId="0" fontId="2" fillId="0" borderId="15" xfId="0" applyFont="1" applyBorder="1" applyAlignment="1">
      <alignment horizontal="center"/>
    </xf>
    <xf numFmtId="0" fontId="2" fillId="0" borderId="50" xfId="0" applyFont="1" applyBorder="1" applyAlignment="1">
      <alignment horizontal="center"/>
    </xf>
    <xf numFmtId="0" fontId="2" fillId="0" borderId="8" xfId="0" applyFont="1" applyBorder="1" applyAlignment="1">
      <alignment horizontal="center"/>
    </xf>
    <xf numFmtId="0" fontId="20" fillId="91" borderId="0" xfId="0" quotePrefix="1" applyFont="1" applyFill="1" applyAlignment="1">
      <alignment horizontal="left" wrapText="1"/>
    </xf>
    <xf numFmtId="0" fontId="20" fillId="91" borderId="0" xfId="0" applyFont="1" applyFill="1" applyAlignment="1">
      <alignment horizontal="left" wrapText="1"/>
    </xf>
    <xf numFmtId="0" fontId="2" fillId="0" borderId="42" xfId="0" applyFont="1" applyBorder="1" applyAlignment="1">
      <alignment horizontal="right"/>
    </xf>
    <xf numFmtId="0" fontId="2" fillId="0" borderId="39" xfId="0" applyFont="1" applyBorder="1" applyAlignment="1">
      <alignment horizontal="center" wrapText="1"/>
    </xf>
    <xf numFmtId="0" fontId="2" fillId="0" borderId="41" xfId="0" applyFont="1" applyBorder="1" applyAlignment="1">
      <alignment horizontal="center" wrapText="1"/>
    </xf>
    <xf numFmtId="0" fontId="2" fillId="0" borderId="8" xfId="0" applyFont="1" applyBorder="1" applyAlignment="1">
      <alignment horizontal="center" wrapText="1"/>
    </xf>
    <xf numFmtId="0" fontId="97" fillId="0" borderId="8" xfId="0" applyFont="1" applyBorder="1" applyAlignment="1">
      <alignment horizontal="center" wrapText="1"/>
    </xf>
    <xf numFmtId="0" fontId="97" fillId="0" borderId="8" xfId="0" applyFont="1" applyBorder="1" applyAlignment="1">
      <alignment horizontal="center"/>
    </xf>
    <xf numFmtId="0" fontId="20" fillId="0" borderId="6" xfId="47" applyFont="1" applyBorder="1" applyAlignment="1">
      <alignment horizontal="right" wrapText="1"/>
    </xf>
    <xf numFmtId="0" fontId="20" fillId="0" borderId="0" xfId="47" applyFont="1" applyAlignment="1">
      <alignment horizontal="right" wrapText="1"/>
    </xf>
    <xf numFmtId="0" fontId="20" fillId="91" borderId="0" xfId="0" applyFont="1" applyFill="1" applyAlignment="1">
      <alignment horizontal="left" vertical="top" wrapText="1"/>
    </xf>
    <xf numFmtId="3" fontId="20" fillId="0" borderId="0" xfId="0" applyNumberFormat="1" applyFont="1" applyAlignment="1">
      <alignment horizontal="center"/>
    </xf>
    <xf numFmtId="167" fontId="97" fillId="0" borderId="38" xfId="0" quotePrefix="1" applyNumberFormat="1" applyFont="1" applyBorder="1" applyAlignment="1">
      <alignment horizontal="right"/>
    </xf>
    <xf numFmtId="167" fontId="97" fillId="0" borderId="14" xfId="0" quotePrefix="1" applyNumberFormat="1" applyFont="1" applyBorder="1" applyAlignment="1">
      <alignment horizontal="right"/>
    </xf>
  </cellXfs>
  <cellStyles count="31874">
    <cellStyle name="_x000a__x000a_JournalTemplate=C:\COMFO\CTALK\JOURSTD.TPL_x000a__x000a_LbStateAddress=3 3 0 251 1 89 2 311_x000a__x000a_LbStateJou" xfId="79" xr:uid="{00000000-0005-0000-0000-00004F000000}"/>
    <cellStyle name="_x000a__x000a_JournalTemplate=C:\COMFO\CTALK\JOURSTD.TPL_x000a__x000a_LbStateAddress=3 3 0 251 1 89 2 311_x000a__x000a_LbStateJou 2" xfId="80" xr:uid="{00000000-0005-0000-0000-000050000000}"/>
    <cellStyle name="_x000a__x000a_JournalTemplate=C:\COMFO\CTALK\JOURSTD.TPL_x000a__x000a_LbStateAddress=3 3 0 251 1 89 2 311_x000a__x000a_LbStateJou 2 2" xfId="81" xr:uid="{00000000-0005-0000-0000-000051000000}"/>
    <cellStyle name="_x000a__x000a_JournalTemplate=C:\COMFO\CTALK\JOURSTD.TPL_x000a__x000a_LbStateAddress=3 3 0 251 1 89 2 311_x000a__x000a_LbStateJou 3" xfId="82" xr:uid="{00000000-0005-0000-0000-000052000000}"/>
    <cellStyle name="_x000a__x000a_JournalTemplate=C:\COMFO\CTALK\JOURSTD.TPL_x000a__x000a_LbStateAddress=3 3 0 251 1 89 2 311_x000a__x000a_LbStateJou 3 2" xfId="83" xr:uid="{00000000-0005-0000-0000-000053000000}"/>
    <cellStyle name="_x000a__x000a_JournalTemplate=C:\COMFO\CTALK\JOURSTD.TPL_x000a__x000a_LbStateAddress=3 3 0 251 1 89 2 311_x000a__x000a_LbStateJou 3 2 2" xfId="84" xr:uid="{00000000-0005-0000-0000-000054000000}"/>
    <cellStyle name="_x000a__x000a_JournalTemplate=C:\COMFO\CTALK\JOURSTD.TPL_x000a__x000a_LbStateAddress=3 3 0 251 1 89 2 311_x000a__x000a_LbStateJou 3 3" xfId="85" xr:uid="{00000000-0005-0000-0000-000055000000}"/>
    <cellStyle name="_x000a__x000a_JournalTemplate=C:\COMFO\CTALK\JOURSTD.TPL_x000a__x000a_LbStateAddress=3 3 0 251 1 89 2 311_x000a__x000a_LbStateJou 4" xfId="86" xr:uid="{00000000-0005-0000-0000-000056000000}"/>
    <cellStyle name="_x000d__x000a_JournalTemplate=C:\COMFO\CTALK\JOURSTD.TPL_x000d__x000a_LbStateAddress=3 3 0 251 1 89 2 311_x000d__x000a_LbStateJou" xfId="87" xr:uid="{00000000-0005-0000-0000-000057000000}"/>
    <cellStyle name="_x000d__x000a_JournalTemplate=C:\COMFO\CTALK\JOURSTD.TPL_x000d__x000a_LbStateAddress=3 3 0 251 1 89 2 311_x000d__x000a_LbStateJou 2" xfId="88" xr:uid="{00000000-0005-0000-0000-000058000000}"/>
    <cellStyle name="_x000d__x000a_JournalTemplate=C:\COMFO\CTALK\JOURSTD.TPL_x000d__x000a_LbStateAddress=3 3 0 251 1 89 2 311_x000d__x000a_LbStateJou 2 2" xfId="89" xr:uid="{00000000-0005-0000-0000-000059000000}"/>
    <cellStyle name="_x000d__x000a_JournalTemplate=C:\COMFO\CTALK\JOURSTD.TPL_x000d__x000a_LbStateAddress=3 3 0 251 1 89 2 311_x000d__x000a_LbStateJou 3" xfId="90" xr:uid="{00000000-0005-0000-0000-00005A000000}"/>
    <cellStyle name="_x000d__x000a_JournalTemplate=C:\COMFO\CTALK\JOURSTD.TPL_x000d__x000a_LbStateAddress=3 3 0 251 1 89 2 311_x000d__x000a_LbStateJou 3 2" xfId="91" xr:uid="{00000000-0005-0000-0000-00005B000000}"/>
    <cellStyle name="_x000d__x000a_JournalTemplate=C:\COMFO\CTALK\JOURSTD.TPL_x000d__x000a_LbStateAddress=3 3 0 251 1 89 2 311_x000d__x000a_LbStateJou 3 2 2" xfId="92" xr:uid="{00000000-0005-0000-0000-00005C000000}"/>
    <cellStyle name="_x000d__x000a_JournalTemplate=C:\COMFO\CTALK\JOURSTD.TPL_x000d__x000a_LbStateAddress=3 3 0 251 1 89 2 311_x000d__x000a_LbStateJou 3 3" xfId="93" xr:uid="{00000000-0005-0000-0000-00005D000000}"/>
    <cellStyle name="_x000d__x000a_JournalTemplate=C:\COMFO\CTALK\JOURSTD.TPL_x000d__x000a_LbStateAddress=3 3 0 251 1 89 2 311_x000d__x000a_LbStateJou 4" xfId="94" xr:uid="{00000000-0005-0000-0000-00005E000000}"/>
    <cellStyle name="*MB Hardwired" xfId="95" xr:uid="{00000000-0005-0000-0000-00005F000000}"/>
    <cellStyle name="*MB Hardwired 2" xfId="96" xr:uid="{00000000-0005-0000-0000-000060000000}"/>
    <cellStyle name="*MB Input Table Calc" xfId="97" xr:uid="{00000000-0005-0000-0000-000061000000}"/>
    <cellStyle name="*MB Input Table Calc 2" xfId="98" xr:uid="{00000000-0005-0000-0000-000062000000}"/>
    <cellStyle name="*MB Normal" xfId="99" xr:uid="{00000000-0005-0000-0000-000063000000}"/>
    <cellStyle name="*MB Normal 2" xfId="100" xr:uid="{00000000-0005-0000-0000-000064000000}"/>
    <cellStyle name="*MB Normal 2 2" xfId="101" xr:uid="{00000000-0005-0000-0000-000065000000}"/>
    <cellStyle name="*MB Normal 3" xfId="102" xr:uid="{00000000-0005-0000-0000-000066000000}"/>
    <cellStyle name="*MB Placeholder" xfId="103" xr:uid="{00000000-0005-0000-0000-000067000000}"/>
    <cellStyle name="*MB Placeholder 2" xfId="104" xr:uid="{00000000-0005-0000-0000-000068000000}"/>
    <cellStyle name=":¨áy¡’?(" xfId="105" xr:uid="{00000000-0005-0000-0000-000069000000}"/>
    <cellStyle name=":¨áy¡’?( 2" xfId="106" xr:uid="{00000000-0005-0000-0000-00006A000000}"/>
    <cellStyle name=":¨áy¡’?( 3" xfId="107" xr:uid="{00000000-0005-0000-0000-00006B000000}"/>
    <cellStyle name=":¨áy¡’?( 3 2" xfId="108" xr:uid="{00000000-0005-0000-0000-00006C000000}"/>
    <cellStyle name=":¨áy¡’?( 4" xfId="109" xr:uid="{00000000-0005-0000-0000-00006D000000}"/>
    <cellStyle name=":¨áy¡’?( 5" xfId="110" xr:uid="{00000000-0005-0000-0000-00006E000000}"/>
    <cellStyle name="?? [0]_??" xfId="111" xr:uid="{00000000-0005-0000-0000-00006F000000}"/>
    <cellStyle name="???" xfId="112" xr:uid="{00000000-0005-0000-0000-000070000000}"/>
    <cellStyle name="??? 2" xfId="113" xr:uid="{00000000-0005-0000-0000-000071000000}"/>
    <cellStyle name="??_?.????" xfId="114" xr:uid="{00000000-0005-0000-0000-000072000000}"/>
    <cellStyle name="_Base Case (Rev 3)" xfId="115" xr:uid="{00000000-0005-0000-0000-000073000000}"/>
    <cellStyle name="_Base Case (Rev 3) 2" xfId="116" xr:uid="{00000000-0005-0000-0000-000074000000}"/>
    <cellStyle name="_Base Case (Rev 3) 2 2" xfId="117" xr:uid="{00000000-0005-0000-0000-000075000000}"/>
    <cellStyle name="_Base Case (Rev 3) 2 2 2" xfId="118" xr:uid="{00000000-0005-0000-0000-000076000000}"/>
    <cellStyle name="_Base Case (Rev 3) 2 3" xfId="119" xr:uid="{00000000-0005-0000-0000-000077000000}"/>
    <cellStyle name="_Base Case (Rev 3) 3" xfId="120" xr:uid="{00000000-0005-0000-0000-000078000000}"/>
    <cellStyle name="_Base Case (Rev 3) 3 2" xfId="121" xr:uid="{00000000-0005-0000-0000-000079000000}"/>
    <cellStyle name="_Base Case (Rev 3) 4" xfId="122" xr:uid="{00000000-0005-0000-0000-00007A000000}"/>
    <cellStyle name="20% - Accent1 2" xfId="123" xr:uid="{00000000-0005-0000-0000-00007B000000}"/>
    <cellStyle name="20% - Accent1 2 10" xfId="124" xr:uid="{00000000-0005-0000-0000-00007C000000}"/>
    <cellStyle name="20% - Accent1 2 10 2" xfId="125" xr:uid="{00000000-0005-0000-0000-00007D000000}"/>
    <cellStyle name="20% - Accent1 2 10 2 2" xfId="31691" xr:uid="{8D410A5A-D9B2-460A-8076-831A6899047A}"/>
    <cellStyle name="20% - Accent1 2 10 3" xfId="31690" xr:uid="{FC0C5723-0C45-477E-8A2B-33BF75FBE233}"/>
    <cellStyle name="20% - Accent1 2 11" xfId="126" xr:uid="{00000000-0005-0000-0000-00007E000000}"/>
    <cellStyle name="20% - Accent1 2 11 2" xfId="31692" xr:uid="{3688DFAC-8FA8-4669-95E7-19C9A542B7E7}"/>
    <cellStyle name="20% - Accent1 2 12" xfId="31689" xr:uid="{832D329F-EB3A-483A-9669-1868C20DF08D}"/>
    <cellStyle name="20% - Accent1 2 2" xfId="127" xr:uid="{00000000-0005-0000-0000-00007F000000}"/>
    <cellStyle name="20% - Accent1 2 2 2" xfId="128" xr:uid="{00000000-0005-0000-0000-000080000000}"/>
    <cellStyle name="20% - Accent1 2 2 2 2" xfId="129" xr:uid="{00000000-0005-0000-0000-000081000000}"/>
    <cellStyle name="20% - Accent1 2 2 2 2 2" xfId="130" xr:uid="{00000000-0005-0000-0000-000082000000}"/>
    <cellStyle name="20% - Accent1 2 2 2 3" xfId="131" xr:uid="{00000000-0005-0000-0000-000083000000}"/>
    <cellStyle name="20% - Accent1 2 2 2 3 2" xfId="132" xr:uid="{00000000-0005-0000-0000-000084000000}"/>
    <cellStyle name="20% - Accent1 2 2 2 3 2 2" xfId="133" xr:uid="{00000000-0005-0000-0000-000085000000}"/>
    <cellStyle name="20% - Accent1 2 2 2 3 3" xfId="134" xr:uid="{00000000-0005-0000-0000-000086000000}"/>
    <cellStyle name="20% - Accent1 2 2 2 4" xfId="135" xr:uid="{00000000-0005-0000-0000-000087000000}"/>
    <cellStyle name="20% - Accent1 2 2 3" xfId="136" xr:uid="{00000000-0005-0000-0000-000088000000}"/>
    <cellStyle name="20% - Accent1 2 2 3 2" xfId="137" xr:uid="{00000000-0005-0000-0000-000089000000}"/>
    <cellStyle name="20% - Accent1 2 2 3 2 2" xfId="138" xr:uid="{00000000-0005-0000-0000-00008A000000}"/>
    <cellStyle name="20% - Accent1 2 2 3 2 2 2" xfId="31696" xr:uid="{05FED677-537A-422E-9286-7605474A048C}"/>
    <cellStyle name="20% - Accent1 2 2 3 2 3" xfId="31695" xr:uid="{3079B67F-B203-4DE4-BFF0-06C742D4F306}"/>
    <cellStyle name="20% - Accent1 2 2 3 3" xfId="139" xr:uid="{00000000-0005-0000-0000-00008B000000}"/>
    <cellStyle name="20% - Accent1 2 2 3 3 2" xfId="31697" xr:uid="{8326290F-7C52-4088-81BE-16A7E2467540}"/>
    <cellStyle name="20% - Accent1 2 2 3 4" xfId="31694" xr:uid="{5788FD75-4084-4096-85D8-36DB514CB90D}"/>
    <cellStyle name="20% - Accent1 2 2 4" xfId="140" xr:uid="{00000000-0005-0000-0000-00008C000000}"/>
    <cellStyle name="20% - Accent1 2 2 4 2" xfId="141" xr:uid="{00000000-0005-0000-0000-00008D000000}"/>
    <cellStyle name="20% - Accent1 2 2 4 2 2" xfId="142" xr:uid="{00000000-0005-0000-0000-00008E000000}"/>
    <cellStyle name="20% - Accent1 2 2 4 2 2 2" xfId="143" xr:uid="{00000000-0005-0000-0000-00008F000000}"/>
    <cellStyle name="20% - Accent1 2 2 4 2 2 2 2" xfId="31701" xr:uid="{A5C6AC43-0909-4261-91BD-E050D9A9692C}"/>
    <cellStyle name="20% - Accent1 2 2 4 2 2 3" xfId="31700" xr:uid="{C9EFAF2C-3DD7-4023-ADD7-C61A46B9D215}"/>
    <cellStyle name="20% - Accent1 2 2 4 2 3" xfId="144" xr:uid="{00000000-0005-0000-0000-000090000000}"/>
    <cellStyle name="20% - Accent1 2 2 4 2 3 2" xfId="31702" xr:uid="{F49DDD2C-E9D5-48A5-AEFD-BD845462BBC2}"/>
    <cellStyle name="20% - Accent1 2 2 4 2 4" xfId="31699" xr:uid="{DA9757EC-78B8-422D-B82D-DB4AD79E4214}"/>
    <cellStyle name="20% - Accent1 2 2 4 3" xfId="145" xr:uid="{00000000-0005-0000-0000-000091000000}"/>
    <cellStyle name="20% - Accent1 2 2 4 3 2" xfId="146" xr:uid="{00000000-0005-0000-0000-000092000000}"/>
    <cellStyle name="20% - Accent1 2 2 4 3 2 2" xfId="31704" xr:uid="{E7E471E3-982E-40BA-87E9-C30FABDFB34D}"/>
    <cellStyle name="20% - Accent1 2 2 4 3 3" xfId="31703" xr:uid="{860FB682-E311-49CD-A3B3-CEE0AD33FF01}"/>
    <cellStyle name="20% - Accent1 2 2 4 4" xfId="147" xr:uid="{00000000-0005-0000-0000-000093000000}"/>
    <cellStyle name="20% - Accent1 2 2 4 4 2" xfId="31705" xr:uid="{8484F8EA-C511-4865-959C-EF026563B07C}"/>
    <cellStyle name="20% - Accent1 2 2 4 5" xfId="31698" xr:uid="{7C22D512-5023-41A8-8942-86779366E8CF}"/>
    <cellStyle name="20% - Accent1 2 2 5" xfId="148" xr:uid="{00000000-0005-0000-0000-000094000000}"/>
    <cellStyle name="20% - Accent1 2 2 5 2" xfId="149" xr:uid="{00000000-0005-0000-0000-000095000000}"/>
    <cellStyle name="20% - Accent1 2 2 5 2 2" xfId="31707" xr:uid="{332C77CF-10F1-4D6F-8EE0-ACE1269FCB01}"/>
    <cellStyle name="20% - Accent1 2 2 5 3" xfId="31706" xr:uid="{F10F1107-32F8-498B-8ADB-5522A4938161}"/>
    <cellStyle name="20% - Accent1 2 2 6" xfId="150" xr:uid="{00000000-0005-0000-0000-000096000000}"/>
    <cellStyle name="20% - Accent1 2 2 6 2" xfId="31708" xr:uid="{B77CA750-E79A-4219-A31B-1BCCBECCE8A2}"/>
    <cellStyle name="20% - Accent1 2 2 7" xfId="31693" xr:uid="{22FCA9B5-C8EA-4946-A6EE-FE82AEC2BD78}"/>
    <cellStyle name="20% - Accent1 2 3" xfId="151" xr:uid="{00000000-0005-0000-0000-000097000000}"/>
    <cellStyle name="20% - Accent1 2 3 2" xfId="152" xr:uid="{00000000-0005-0000-0000-000098000000}"/>
    <cellStyle name="20% - Accent1 2 3 2 2" xfId="153" xr:uid="{00000000-0005-0000-0000-000099000000}"/>
    <cellStyle name="20% - Accent1 2 3 2 2 2" xfId="154" xr:uid="{00000000-0005-0000-0000-00009A000000}"/>
    <cellStyle name="20% - Accent1 2 3 2 2 2 2" xfId="31712" xr:uid="{E8F028FD-11C7-40CF-955E-D725F5FA92E2}"/>
    <cellStyle name="20% - Accent1 2 3 2 2 3" xfId="31711" xr:uid="{43F539FB-B501-458B-A6C2-3003C5857668}"/>
    <cellStyle name="20% - Accent1 2 3 2 3" xfId="155" xr:uid="{00000000-0005-0000-0000-00009B000000}"/>
    <cellStyle name="20% - Accent1 2 3 2 3 2" xfId="31713" xr:uid="{C1EC0B4D-123C-4E72-80CE-DEF42955C570}"/>
    <cellStyle name="20% - Accent1 2 3 2 4" xfId="31710" xr:uid="{FEA17BCA-FB74-4849-A697-4855FA62F637}"/>
    <cellStyle name="20% - Accent1 2 3 3" xfId="156" xr:uid="{00000000-0005-0000-0000-00009C000000}"/>
    <cellStyle name="20% - Accent1 2 3 3 2" xfId="157" xr:uid="{00000000-0005-0000-0000-00009D000000}"/>
    <cellStyle name="20% - Accent1 2 3 3 2 2" xfId="158" xr:uid="{00000000-0005-0000-0000-00009E000000}"/>
    <cellStyle name="20% - Accent1 2 3 3 2 2 2" xfId="159" xr:uid="{00000000-0005-0000-0000-00009F000000}"/>
    <cellStyle name="20% - Accent1 2 3 3 2 2 2 2" xfId="31717" xr:uid="{C36FCA79-0A8A-4909-9DB9-B0216131CD70}"/>
    <cellStyle name="20% - Accent1 2 3 3 2 2 3" xfId="31716" xr:uid="{F9FDA14E-AC8B-44FC-BAB8-23EBF8496C16}"/>
    <cellStyle name="20% - Accent1 2 3 3 2 3" xfId="160" xr:uid="{00000000-0005-0000-0000-0000A0000000}"/>
    <cellStyle name="20% - Accent1 2 3 3 2 3 2" xfId="31718" xr:uid="{2EF6F581-16FF-4716-B3FD-076B2EBAC389}"/>
    <cellStyle name="20% - Accent1 2 3 3 2 4" xfId="31715" xr:uid="{7679CF52-2B36-47CF-804C-69629BB2FE6B}"/>
    <cellStyle name="20% - Accent1 2 3 3 3" xfId="161" xr:uid="{00000000-0005-0000-0000-0000A1000000}"/>
    <cellStyle name="20% - Accent1 2 3 3 3 2" xfId="162" xr:uid="{00000000-0005-0000-0000-0000A2000000}"/>
    <cellStyle name="20% - Accent1 2 3 3 3 2 2" xfId="31720" xr:uid="{14306717-C8D7-499B-8D70-6EF7B7A7C0C8}"/>
    <cellStyle name="20% - Accent1 2 3 3 3 3" xfId="31719" xr:uid="{723D7254-12EE-4332-9ED6-00D27CB5798E}"/>
    <cellStyle name="20% - Accent1 2 3 3 4" xfId="163" xr:uid="{00000000-0005-0000-0000-0000A3000000}"/>
    <cellStyle name="20% - Accent1 2 3 3 4 2" xfId="31721" xr:uid="{2663C6F4-F1DE-4238-8290-E529AA63B7D5}"/>
    <cellStyle name="20% - Accent1 2 3 3 5" xfId="31714" xr:uid="{F3E846AA-21CC-4929-BEC1-8FED2B1428FF}"/>
    <cellStyle name="20% - Accent1 2 3 4" xfId="164" xr:uid="{00000000-0005-0000-0000-0000A4000000}"/>
    <cellStyle name="20% - Accent1 2 3 4 2" xfId="165" xr:uid="{00000000-0005-0000-0000-0000A5000000}"/>
    <cellStyle name="20% - Accent1 2 3 4 2 2" xfId="31723" xr:uid="{F2AEDEB7-A7DA-4B71-9F7D-7BE7117F1C0F}"/>
    <cellStyle name="20% - Accent1 2 3 4 3" xfId="31722" xr:uid="{B10C1731-AF05-4C4E-82E8-AE6F342607F0}"/>
    <cellStyle name="20% - Accent1 2 3 5" xfId="166" xr:uid="{00000000-0005-0000-0000-0000A6000000}"/>
    <cellStyle name="20% - Accent1 2 3 5 2" xfId="31724" xr:uid="{BAB7CFB4-D70E-42C1-99D8-98E90DD7D824}"/>
    <cellStyle name="20% - Accent1 2 3 6" xfId="31709" xr:uid="{05AD2669-7612-40DF-AFF5-363071960EC0}"/>
    <cellStyle name="20% - Accent1 2 4" xfId="167" xr:uid="{00000000-0005-0000-0000-0000A7000000}"/>
    <cellStyle name="20% - Accent1 2 4 2" xfId="168" xr:uid="{00000000-0005-0000-0000-0000A8000000}"/>
    <cellStyle name="20% - Accent1 2 4 2 2" xfId="169" xr:uid="{00000000-0005-0000-0000-0000A9000000}"/>
    <cellStyle name="20% - Accent1 2 4 2 2 2" xfId="170" xr:uid="{00000000-0005-0000-0000-0000AA000000}"/>
    <cellStyle name="20% - Accent1 2 4 2 2 2 2" xfId="31728" xr:uid="{8960AD4E-77CA-496D-AAFF-9E4DEA7BF7A2}"/>
    <cellStyle name="20% - Accent1 2 4 2 2 3" xfId="31727" xr:uid="{C71CC3DC-30C0-42E8-A093-5519155870C8}"/>
    <cellStyle name="20% - Accent1 2 4 2 3" xfId="171" xr:uid="{00000000-0005-0000-0000-0000AB000000}"/>
    <cellStyle name="20% - Accent1 2 4 2 3 2" xfId="31729" xr:uid="{2EC6628F-4135-4CD6-8C9C-DB8FD3161826}"/>
    <cellStyle name="20% - Accent1 2 4 2 4" xfId="31726" xr:uid="{624A5A08-E154-4B0E-8C34-C0151C110D87}"/>
    <cellStyle name="20% - Accent1 2 4 3" xfId="172" xr:uid="{00000000-0005-0000-0000-0000AC000000}"/>
    <cellStyle name="20% - Accent1 2 4 3 2" xfId="173" xr:uid="{00000000-0005-0000-0000-0000AD000000}"/>
    <cellStyle name="20% - Accent1 2 4 3 2 2" xfId="31731" xr:uid="{FFDFBCC8-0D30-4F4E-9A91-1C1ED58462F9}"/>
    <cellStyle name="20% - Accent1 2 4 3 3" xfId="31730" xr:uid="{0E3D0FE4-E81B-4F61-A268-4479014E9550}"/>
    <cellStyle name="20% - Accent1 2 4 4" xfId="174" xr:uid="{00000000-0005-0000-0000-0000AE000000}"/>
    <cellStyle name="20% - Accent1 2 4 4 2" xfId="31732" xr:uid="{0915EF20-B15B-4A95-9431-08DB6959773C}"/>
    <cellStyle name="20% - Accent1 2 4 5" xfId="31725" xr:uid="{FD796076-005F-4021-B826-E2FB21D66E39}"/>
    <cellStyle name="20% - Accent1 2 5" xfId="175" xr:uid="{00000000-0005-0000-0000-0000AF000000}"/>
    <cellStyle name="20% - Accent1 2 5 2" xfId="176" xr:uid="{00000000-0005-0000-0000-0000B0000000}"/>
    <cellStyle name="20% - Accent1 2 5 2 2" xfId="177" xr:uid="{00000000-0005-0000-0000-0000B1000000}"/>
    <cellStyle name="20% - Accent1 2 5 2 2 2" xfId="178" xr:uid="{00000000-0005-0000-0000-0000B2000000}"/>
    <cellStyle name="20% - Accent1 2 5 2 2 2 2" xfId="31736" xr:uid="{4502E2D7-E38E-4FDC-86AF-BD8536C72B71}"/>
    <cellStyle name="20% - Accent1 2 5 2 2 3" xfId="31735" xr:uid="{4C9B8196-4F14-44D8-978B-0FE38E3BCD34}"/>
    <cellStyle name="20% - Accent1 2 5 2 3" xfId="179" xr:uid="{00000000-0005-0000-0000-0000B3000000}"/>
    <cellStyle name="20% - Accent1 2 5 2 3 2" xfId="31737" xr:uid="{632C194D-4C8C-44DF-A5D2-5DA368FC356F}"/>
    <cellStyle name="20% - Accent1 2 5 2 4" xfId="31734" xr:uid="{3E4D5066-FA6F-4EC0-9B87-A4F65C846F35}"/>
    <cellStyle name="20% - Accent1 2 5 3" xfId="180" xr:uid="{00000000-0005-0000-0000-0000B4000000}"/>
    <cellStyle name="20% - Accent1 2 5 3 2" xfId="181" xr:uid="{00000000-0005-0000-0000-0000B5000000}"/>
    <cellStyle name="20% - Accent1 2 5 3 2 2" xfId="182" xr:uid="{00000000-0005-0000-0000-0000B6000000}"/>
    <cellStyle name="20% - Accent1 2 5 3 2 2 2" xfId="183" xr:uid="{00000000-0005-0000-0000-0000B7000000}"/>
    <cellStyle name="20% - Accent1 2 5 3 2 2 2 2" xfId="31741" xr:uid="{4CB388F8-4BEA-4DB9-A161-164C253EA2FC}"/>
    <cellStyle name="20% - Accent1 2 5 3 2 2 3" xfId="31740" xr:uid="{B64BDE34-FD13-45B3-8E7A-9C1188C6D339}"/>
    <cellStyle name="20% - Accent1 2 5 3 2 3" xfId="184" xr:uid="{00000000-0005-0000-0000-0000B8000000}"/>
    <cellStyle name="20% - Accent1 2 5 3 2 3 2" xfId="31742" xr:uid="{D73B4CC8-4436-4507-AD38-CBD2734D0E6B}"/>
    <cellStyle name="20% - Accent1 2 5 3 2 4" xfId="31739" xr:uid="{CC784061-6BE7-494C-B139-DAB4C7D26AB5}"/>
    <cellStyle name="20% - Accent1 2 5 3 3" xfId="185" xr:uid="{00000000-0005-0000-0000-0000B9000000}"/>
    <cellStyle name="20% - Accent1 2 5 3 3 2" xfId="186" xr:uid="{00000000-0005-0000-0000-0000BA000000}"/>
    <cellStyle name="20% - Accent1 2 5 3 3 2 2" xfId="31744" xr:uid="{27830FA9-1A05-4F00-BEA8-FEA6E050F966}"/>
    <cellStyle name="20% - Accent1 2 5 3 3 3" xfId="31743" xr:uid="{9A0A108E-0AEC-4E5D-8BBF-6358214547E5}"/>
    <cellStyle name="20% - Accent1 2 5 3 4" xfId="187" xr:uid="{00000000-0005-0000-0000-0000BB000000}"/>
    <cellStyle name="20% - Accent1 2 5 3 4 2" xfId="31745" xr:uid="{164F0D4E-0B71-4CDB-BA86-6409F1CACBE2}"/>
    <cellStyle name="20% - Accent1 2 5 3 5" xfId="31738" xr:uid="{7DCA07B0-1121-4FC5-945F-0261F61EDB50}"/>
    <cellStyle name="20% - Accent1 2 5 4" xfId="188" xr:uid="{00000000-0005-0000-0000-0000BC000000}"/>
    <cellStyle name="20% - Accent1 2 5 4 2" xfId="189" xr:uid="{00000000-0005-0000-0000-0000BD000000}"/>
    <cellStyle name="20% - Accent1 2 5 4 2 2" xfId="31747" xr:uid="{495A6311-F603-40D9-A613-52B98C3FD4C3}"/>
    <cellStyle name="20% - Accent1 2 5 4 3" xfId="31746" xr:uid="{41DE9F75-C047-42EF-AF8A-2F3BCB22E64E}"/>
    <cellStyle name="20% - Accent1 2 5 5" xfId="190" xr:uid="{00000000-0005-0000-0000-0000BE000000}"/>
    <cellStyle name="20% - Accent1 2 5 5 2" xfId="31748" xr:uid="{223D48EA-2D73-4961-AAC3-1254F83A0997}"/>
    <cellStyle name="20% - Accent1 2 5 6" xfId="31733" xr:uid="{6D937C8B-3B92-4060-9A1F-6F8F0C92DBB5}"/>
    <cellStyle name="20% - Accent1 2 6" xfId="191" xr:uid="{00000000-0005-0000-0000-0000BF000000}"/>
    <cellStyle name="20% - Accent1 2 6 2" xfId="192" xr:uid="{00000000-0005-0000-0000-0000C0000000}"/>
    <cellStyle name="20% - Accent1 2 6 2 2" xfId="193" xr:uid="{00000000-0005-0000-0000-0000C1000000}"/>
    <cellStyle name="20% - Accent1 2 6 2 2 2" xfId="31751" xr:uid="{06E31925-EA50-4558-B6A2-63839302D86C}"/>
    <cellStyle name="20% - Accent1 2 6 2 3" xfId="31750" xr:uid="{5682705C-0EDF-4C63-AA44-A1ACD431D97A}"/>
    <cellStyle name="20% - Accent1 2 6 3" xfId="194" xr:uid="{00000000-0005-0000-0000-0000C2000000}"/>
    <cellStyle name="20% - Accent1 2 6 3 2" xfId="31752" xr:uid="{77EEB072-AE1B-45D5-9A31-B7642D5C8795}"/>
    <cellStyle name="20% - Accent1 2 6 4" xfId="31749" xr:uid="{1B589EE8-1D52-43FE-B022-EC348592B076}"/>
    <cellStyle name="20% - Accent1 2 7" xfId="195" xr:uid="{00000000-0005-0000-0000-0000C3000000}"/>
    <cellStyle name="20% - Accent1 2 7 2" xfId="196" xr:uid="{00000000-0005-0000-0000-0000C4000000}"/>
    <cellStyle name="20% - Accent1 2 7 2 2" xfId="197" xr:uid="{00000000-0005-0000-0000-0000C5000000}"/>
    <cellStyle name="20% - Accent1 2 7 2 2 2" xfId="31755" xr:uid="{38A90870-078E-44AA-9C66-F8310A683406}"/>
    <cellStyle name="20% - Accent1 2 7 2 3" xfId="31754" xr:uid="{056AB391-1CE0-4BEF-B5FC-7BD9F8751FA1}"/>
    <cellStyle name="20% - Accent1 2 7 3" xfId="198" xr:uid="{00000000-0005-0000-0000-0000C6000000}"/>
    <cellStyle name="20% - Accent1 2 7 3 2" xfId="31756" xr:uid="{18B110D5-0E53-49C4-83F7-A5F2684F1D75}"/>
    <cellStyle name="20% - Accent1 2 7 4" xfId="31753" xr:uid="{2F8A55C7-1DEB-4D32-8421-86761D9B620E}"/>
    <cellStyle name="20% - Accent1 2 8" xfId="199" xr:uid="{00000000-0005-0000-0000-0000C7000000}"/>
    <cellStyle name="20% - Accent1 2 8 2" xfId="200" xr:uid="{00000000-0005-0000-0000-0000C8000000}"/>
    <cellStyle name="20% - Accent1 2 8 2 2" xfId="201" xr:uid="{00000000-0005-0000-0000-0000C9000000}"/>
    <cellStyle name="20% - Accent1 2 8 2 2 2" xfId="202" xr:uid="{00000000-0005-0000-0000-0000CA000000}"/>
    <cellStyle name="20% - Accent1 2 8 2 2 2 2" xfId="31760" xr:uid="{8163EB72-DD0B-4C89-992E-DED0E8E20694}"/>
    <cellStyle name="20% - Accent1 2 8 2 2 3" xfId="31759" xr:uid="{B511F739-59C1-43F3-A323-1DECB2735D0B}"/>
    <cellStyle name="20% - Accent1 2 8 2 3" xfId="203" xr:uid="{00000000-0005-0000-0000-0000CB000000}"/>
    <cellStyle name="20% - Accent1 2 8 2 3 2" xfId="31761" xr:uid="{006F9BCB-CA39-4FAB-AC6F-41A53430E772}"/>
    <cellStyle name="20% - Accent1 2 8 2 4" xfId="31758" xr:uid="{8F765FC4-7F3C-47F3-BC64-B9E9DE49591B}"/>
    <cellStyle name="20% - Accent1 2 8 3" xfId="204" xr:uid="{00000000-0005-0000-0000-0000CC000000}"/>
    <cellStyle name="20% - Accent1 2 8 3 2" xfId="205" xr:uid="{00000000-0005-0000-0000-0000CD000000}"/>
    <cellStyle name="20% - Accent1 2 8 3 2 2" xfId="31763" xr:uid="{438FB1D2-FD03-4394-A652-CF866C067EA8}"/>
    <cellStyle name="20% - Accent1 2 8 3 3" xfId="31762" xr:uid="{79CEAF06-8F21-40FE-B052-A13CCD8FF20E}"/>
    <cellStyle name="20% - Accent1 2 8 4" xfId="206" xr:uid="{00000000-0005-0000-0000-0000CE000000}"/>
    <cellStyle name="20% - Accent1 2 8 4 2" xfId="31764" xr:uid="{916D54FC-8AAE-4EF8-89B3-2AD7C64AB69C}"/>
    <cellStyle name="20% - Accent1 2 8 5" xfId="31757" xr:uid="{564DF109-2E97-47E4-AE07-5BA722DFDBBE}"/>
    <cellStyle name="20% - Accent1 2 9" xfId="207" xr:uid="{00000000-0005-0000-0000-0000CF000000}"/>
    <cellStyle name="20% - Accent1 2 9 2" xfId="208" xr:uid="{00000000-0005-0000-0000-0000D0000000}"/>
    <cellStyle name="20% - Accent1 2 9 2 2" xfId="31766" xr:uid="{4FD7D8E6-B2FD-442C-86B4-EDAE5B399E6A}"/>
    <cellStyle name="20% - Accent1 2 9 3" xfId="31765" xr:uid="{1D7C3A65-57B2-4CBB-8A26-50D436D20B00}"/>
    <cellStyle name="20% - Accent1 3" xfId="209" xr:uid="{00000000-0005-0000-0000-0000D1000000}"/>
    <cellStyle name="20% - Accent1 3 2" xfId="210" xr:uid="{00000000-0005-0000-0000-0000D2000000}"/>
    <cellStyle name="20% - Accent1 3 2 2" xfId="211" xr:uid="{00000000-0005-0000-0000-0000D3000000}"/>
    <cellStyle name="20% - Accent1 3 2 2 2" xfId="212" xr:uid="{00000000-0005-0000-0000-0000D4000000}"/>
    <cellStyle name="20% - Accent1 3 2 2 2 2" xfId="31770" xr:uid="{13A8C5DF-23C7-4EB7-A7D1-D1901B280CFD}"/>
    <cellStyle name="20% - Accent1 3 2 2 3" xfId="31769" xr:uid="{9745FF77-D92E-45DF-B225-5BCA8B08AD64}"/>
    <cellStyle name="20% - Accent1 3 2 3" xfId="213" xr:uid="{00000000-0005-0000-0000-0000D5000000}"/>
    <cellStyle name="20% - Accent1 3 2 3 2" xfId="31771" xr:uid="{92186A8C-FCC5-491F-BE27-54977A05036E}"/>
    <cellStyle name="20% - Accent1 3 2 4" xfId="31768" xr:uid="{7F0DEE7F-4664-4844-B005-D5A20B67208B}"/>
    <cellStyle name="20% - Accent1 3 3" xfId="214" xr:uid="{00000000-0005-0000-0000-0000D6000000}"/>
    <cellStyle name="20% - Accent1 3 3 2" xfId="215" xr:uid="{00000000-0005-0000-0000-0000D7000000}"/>
    <cellStyle name="20% - Accent1 3 4" xfId="216" xr:uid="{00000000-0005-0000-0000-0000D8000000}"/>
    <cellStyle name="20% - Accent1 3 4 2" xfId="217" xr:uid="{00000000-0005-0000-0000-0000D9000000}"/>
    <cellStyle name="20% - Accent1 3 4 2 2" xfId="218" xr:uid="{00000000-0005-0000-0000-0000DA000000}"/>
    <cellStyle name="20% - Accent1 3 4 3" xfId="219" xr:uid="{00000000-0005-0000-0000-0000DB000000}"/>
    <cellStyle name="20% - Accent1 3 5" xfId="220" xr:uid="{00000000-0005-0000-0000-0000DC000000}"/>
    <cellStyle name="20% - Accent1 3 6" xfId="31767" xr:uid="{FF154A24-4734-4272-B0AA-5653B4EE8D59}"/>
    <cellStyle name="20% - Accent1 4" xfId="221" xr:uid="{00000000-0005-0000-0000-0000DD000000}"/>
    <cellStyle name="20% - Accent1 4 2" xfId="222" xr:uid="{00000000-0005-0000-0000-0000DE000000}"/>
    <cellStyle name="20% - Accent1 4 2 2" xfId="223" xr:uid="{00000000-0005-0000-0000-0000DF000000}"/>
    <cellStyle name="20% - Accent1 4 3" xfId="224" xr:uid="{00000000-0005-0000-0000-0000E0000000}"/>
    <cellStyle name="20% - Accent1 4 3 2" xfId="225" xr:uid="{00000000-0005-0000-0000-0000E1000000}"/>
    <cellStyle name="20% - Accent1 4 3 2 2" xfId="226" xr:uid="{00000000-0005-0000-0000-0000E2000000}"/>
    <cellStyle name="20% - Accent1 4 3 3" xfId="227" xr:uid="{00000000-0005-0000-0000-0000E3000000}"/>
    <cellStyle name="20% - Accent1 4 4" xfId="228" xr:uid="{00000000-0005-0000-0000-0000E4000000}"/>
    <cellStyle name="20% - Accent1 4 5" xfId="31772" xr:uid="{682A7E09-79FC-4C47-B1AF-34D50E494D29}"/>
    <cellStyle name="20% - Accent1 5" xfId="229" xr:uid="{00000000-0005-0000-0000-0000E5000000}"/>
    <cellStyle name="20% - Accent1 5 2" xfId="230" xr:uid="{00000000-0005-0000-0000-0000E6000000}"/>
    <cellStyle name="20% - Accent1 5 2 2" xfId="231" xr:uid="{00000000-0005-0000-0000-0000E7000000}"/>
    <cellStyle name="20% - Accent1 5 2 2 2" xfId="232" xr:uid="{00000000-0005-0000-0000-0000E8000000}"/>
    <cellStyle name="20% - Accent1 5 2 2 2 2" xfId="31776" xr:uid="{0D1172CE-1AFC-4155-BF81-F26B2AB6E1B2}"/>
    <cellStyle name="20% - Accent1 5 2 2 3" xfId="31775" xr:uid="{0A9B1DEE-11A4-4CBB-9636-EAE4C4C849AB}"/>
    <cellStyle name="20% - Accent1 5 2 3" xfId="233" xr:uid="{00000000-0005-0000-0000-0000E9000000}"/>
    <cellStyle name="20% - Accent1 5 2 3 2" xfId="31777" xr:uid="{3FCEE41D-4B54-4BE1-9971-8086CFF52172}"/>
    <cellStyle name="20% - Accent1 5 2 4" xfId="31774" xr:uid="{C6D2C885-D232-43F6-9A1F-E34FE8BC9511}"/>
    <cellStyle name="20% - Accent1 5 3" xfId="234" xr:uid="{00000000-0005-0000-0000-0000EA000000}"/>
    <cellStyle name="20% - Accent1 5 3 2" xfId="235" xr:uid="{00000000-0005-0000-0000-0000EB000000}"/>
    <cellStyle name="20% - Accent1 5 3 2 2" xfId="236" xr:uid="{00000000-0005-0000-0000-0000EC000000}"/>
    <cellStyle name="20% - Accent1 5 3 2 2 2" xfId="237" xr:uid="{00000000-0005-0000-0000-0000ED000000}"/>
    <cellStyle name="20% - Accent1 5 3 2 2 2 2" xfId="31781" xr:uid="{AE250F6D-B57B-4260-AEE2-88463525D0B9}"/>
    <cellStyle name="20% - Accent1 5 3 2 2 3" xfId="31780" xr:uid="{7767D372-39FC-4979-BA83-44D2B2F41A07}"/>
    <cellStyle name="20% - Accent1 5 3 2 3" xfId="238" xr:uid="{00000000-0005-0000-0000-0000EE000000}"/>
    <cellStyle name="20% - Accent1 5 3 2 3 2" xfId="31782" xr:uid="{22929190-BC10-45BB-A966-BF89121B3436}"/>
    <cellStyle name="20% - Accent1 5 3 2 4" xfId="31779" xr:uid="{B5B2CFAC-B72B-4047-944B-BB2AD8998B4A}"/>
    <cellStyle name="20% - Accent1 5 3 3" xfId="239" xr:uid="{00000000-0005-0000-0000-0000EF000000}"/>
    <cellStyle name="20% - Accent1 5 3 3 2" xfId="240" xr:uid="{00000000-0005-0000-0000-0000F0000000}"/>
    <cellStyle name="20% - Accent1 5 3 3 2 2" xfId="31784" xr:uid="{4ABB0EBF-990E-4DFC-8BAF-A62AFA891528}"/>
    <cellStyle name="20% - Accent1 5 3 3 3" xfId="31783" xr:uid="{14ED6600-5B0B-4941-8821-64DE7541145A}"/>
    <cellStyle name="20% - Accent1 5 3 4" xfId="241" xr:uid="{00000000-0005-0000-0000-0000F1000000}"/>
    <cellStyle name="20% - Accent1 5 3 4 2" xfId="31785" xr:uid="{7B19151C-3A38-45FE-A8CC-DBCC92031A07}"/>
    <cellStyle name="20% - Accent1 5 3 5" xfId="31778" xr:uid="{E017A4B3-D589-427E-89F9-6189B2213C73}"/>
    <cellStyle name="20% - Accent1 5 4" xfId="242" xr:uid="{00000000-0005-0000-0000-0000F2000000}"/>
    <cellStyle name="20% - Accent1 5 4 2" xfId="243" xr:uid="{00000000-0005-0000-0000-0000F3000000}"/>
    <cellStyle name="20% - Accent1 5 4 2 2" xfId="31787" xr:uid="{7F8E6CF9-E552-4A61-8D78-8E63A66276BD}"/>
    <cellStyle name="20% - Accent1 5 4 3" xfId="31786" xr:uid="{9DC68A60-6BA8-41D9-A918-C1837715544B}"/>
    <cellStyle name="20% - Accent1 5 5" xfId="244" xr:uid="{00000000-0005-0000-0000-0000F4000000}"/>
    <cellStyle name="20% - Accent1 5 5 2" xfId="31788" xr:uid="{28533E8F-4457-4A9B-92A7-FE4744BF34CC}"/>
    <cellStyle name="20% - Accent1 5 6" xfId="31773" xr:uid="{F7D46021-F7BC-491B-83FC-C205D4905621}"/>
    <cellStyle name="20% - Accent1 6" xfId="245" xr:uid="{00000000-0005-0000-0000-0000F5000000}"/>
    <cellStyle name="20% - Accent1 6 2" xfId="246" xr:uid="{00000000-0005-0000-0000-0000F6000000}"/>
    <cellStyle name="20% - Accent1 6 2 2" xfId="247" xr:uid="{00000000-0005-0000-0000-0000F7000000}"/>
    <cellStyle name="20% - Accent1 6 2 2 2" xfId="248" xr:uid="{00000000-0005-0000-0000-0000F8000000}"/>
    <cellStyle name="20% - Accent1 6 2 2 2 2" xfId="31792" xr:uid="{C7C1692C-8D62-4D07-86D1-478CE22D123D}"/>
    <cellStyle name="20% - Accent1 6 2 2 3" xfId="31791" xr:uid="{184A60EF-1DBE-4B7E-A81B-9EAA55774B91}"/>
    <cellStyle name="20% - Accent1 6 2 3" xfId="249" xr:uid="{00000000-0005-0000-0000-0000F9000000}"/>
    <cellStyle name="20% - Accent1 6 2 3 2" xfId="31793" xr:uid="{89BECEEA-7EE0-471D-8E62-E2FD72B830F6}"/>
    <cellStyle name="20% - Accent1 6 2 4" xfId="31790" xr:uid="{130F926A-D63E-4DDC-A8A4-4B5FD920C8D1}"/>
    <cellStyle name="20% - Accent1 6 3" xfId="250" xr:uid="{00000000-0005-0000-0000-0000FA000000}"/>
    <cellStyle name="20% - Accent1 6 3 2" xfId="251" xr:uid="{00000000-0005-0000-0000-0000FB000000}"/>
    <cellStyle name="20% - Accent1 6 3 2 2" xfId="31795" xr:uid="{9B5CC79C-CB6E-49F1-9972-A3AA8C4E555A}"/>
    <cellStyle name="20% - Accent1 6 3 3" xfId="31794" xr:uid="{FBB726BB-0773-4A03-BD41-C64C8264C72A}"/>
    <cellStyle name="20% - Accent1 6 4" xfId="252" xr:uid="{00000000-0005-0000-0000-0000FC000000}"/>
    <cellStyle name="20% - Accent1 6 4 2" xfId="31796" xr:uid="{898940CB-B4D5-4D8C-93EE-9C253305D96F}"/>
    <cellStyle name="20% - Accent1 6 5" xfId="31789" xr:uid="{D2D43D8B-7509-46A6-B24D-F41CE25B9293}"/>
    <cellStyle name="20% - Accent1 7" xfId="253" xr:uid="{00000000-0005-0000-0000-0000FD000000}"/>
    <cellStyle name="20% - Accent1 8" xfId="254" xr:uid="{00000000-0005-0000-0000-0000FE000000}"/>
    <cellStyle name="20% - Accent2 2" xfId="255" xr:uid="{00000000-0005-0000-0000-0000FF000000}"/>
    <cellStyle name="20% - Accent2 2 10" xfId="256" xr:uid="{00000000-0005-0000-0000-000000010000}"/>
    <cellStyle name="20% - Accent2 2 10 2" xfId="257" xr:uid="{00000000-0005-0000-0000-000001010000}"/>
    <cellStyle name="20% - Accent2 2 11" xfId="258" xr:uid="{00000000-0005-0000-0000-000002010000}"/>
    <cellStyle name="20% - Accent2 2 11 2" xfId="31798" xr:uid="{3AB5C236-B26E-4B92-A213-E22B60039173}"/>
    <cellStyle name="20% - Accent2 2 12" xfId="31797" xr:uid="{D5116794-992E-47AA-85BB-37A6E5831146}"/>
    <cellStyle name="20% - Accent2 2 2" xfId="259" xr:uid="{00000000-0005-0000-0000-000003010000}"/>
    <cellStyle name="20% - Accent2 2 2 2" xfId="260" xr:uid="{00000000-0005-0000-0000-000004010000}"/>
    <cellStyle name="20% - Accent2 2 2 2 2" xfId="261" xr:uid="{00000000-0005-0000-0000-000005010000}"/>
    <cellStyle name="20% - Accent2 2 2 2 2 2" xfId="262" xr:uid="{00000000-0005-0000-0000-000006010000}"/>
    <cellStyle name="20% - Accent2 2 2 2 3" xfId="263" xr:uid="{00000000-0005-0000-0000-000007010000}"/>
    <cellStyle name="20% - Accent2 2 2 2 3 2" xfId="264" xr:uid="{00000000-0005-0000-0000-000008010000}"/>
    <cellStyle name="20% - Accent2 2 2 2 3 2 2" xfId="265" xr:uid="{00000000-0005-0000-0000-000009010000}"/>
    <cellStyle name="20% - Accent2 2 2 2 3 3" xfId="266" xr:uid="{00000000-0005-0000-0000-00000A010000}"/>
    <cellStyle name="20% - Accent2 2 2 2 4" xfId="267" xr:uid="{00000000-0005-0000-0000-00000B010000}"/>
    <cellStyle name="20% - Accent2 2 2 3" xfId="268" xr:uid="{00000000-0005-0000-0000-00000C010000}"/>
    <cellStyle name="20% - Accent2 2 2 3 2" xfId="269" xr:uid="{00000000-0005-0000-0000-00000D010000}"/>
    <cellStyle name="20% - Accent2 2 2 3 2 2" xfId="270" xr:uid="{00000000-0005-0000-0000-00000E010000}"/>
    <cellStyle name="20% - Accent2 2 2 3 2 2 2" xfId="31802" xr:uid="{A14DE09A-6552-4130-9EF5-90FC847E387C}"/>
    <cellStyle name="20% - Accent2 2 2 3 2 3" xfId="31801" xr:uid="{E074A381-05BE-4519-B4DA-5D99BF044146}"/>
    <cellStyle name="20% - Accent2 2 2 3 3" xfId="271" xr:uid="{00000000-0005-0000-0000-00000F010000}"/>
    <cellStyle name="20% - Accent2 2 2 3 3 2" xfId="31803" xr:uid="{6066C0A7-FCA5-4A48-8B7F-DEB4F072E28C}"/>
    <cellStyle name="20% - Accent2 2 2 3 4" xfId="31800" xr:uid="{D76E1132-0E9B-4D43-BE40-84E4BC34C6E7}"/>
    <cellStyle name="20% - Accent2 2 2 4" xfId="272" xr:uid="{00000000-0005-0000-0000-000010010000}"/>
    <cellStyle name="20% - Accent2 2 2 4 2" xfId="273" xr:uid="{00000000-0005-0000-0000-000011010000}"/>
    <cellStyle name="20% - Accent2 2 2 4 2 2" xfId="274" xr:uid="{00000000-0005-0000-0000-000012010000}"/>
    <cellStyle name="20% - Accent2 2 2 4 2 2 2" xfId="275" xr:uid="{00000000-0005-0000-0000-000013010000}"/>
    <cellStyle name="20% - Accent2 2 2 4 2 2 2 2" xfId="31807" xr:uid="{CFBD0F82-760C-4496-B43F-833372ED82D6}"/>
    <cellStyle name="20% - Accent2 2 2 4 2 2 3" xfId="31806" xr:uid="{D978E756-B2EC-4EEF-A601-F3734F3E26E0}"/>
    <cellStyle name="20% - Accent2 2 2 4 2 3" xfId="276" xr:uid="{00000000-0005-0000-0000-000014010000}"/>
    <cellStyle name="20% - Accent2 2 2 4 2 3 2" xfId="31808" xr:uid="{ED3C3069-F793-4162-B380-03E906E79937}"/>
    <cellStyle name="20% - Accent2 2 2 4 2 4" xfId="31805" xr:uid="{F3EECFE7-7603-44D1-961C-B87F8B52EB81}"/>
    <cellStyle name="20% - Accent2 2 2 4 3" xfId="277" xr:uid="{00000000-0005-0000-0000-000015010000}"/>
    <cellStyle name="20% - Accent2 2 2 4 3 2" xfId="278" xr:uid="{00000000-0005-0000-0000-000016010000}"/>
    <cellStyle name="20% - Accent2 2 2 4 3 2 2" xfId="31810" xr:uid="{C4B1668A-6E42-431A-AFDB-A83B75DD3395}"/>
    <cellStyle name="20% - Accent2 2 2 4 3 3" xfId="31809" xr:uid="{889926CD-0215-421A-9A54-A4FA701466FE}"/>
    <cellStyle name="20% - Accent2 2 2 4 4" xfId="279" xr:uid="{00000000-0005-0000-0000-000017010000}"/>
    <cellStyle name="20% - Accent2 2 2 4 4 2" xfId="31811" xr:uid="{92135DB4-39F7-4514-B16B-D8116A256917}"/>
    <cellStyle name="20% - Accent2 2 2 4 5" xfId="31804" xr:uid="{8D8EE3F5-C704-4E0D-A0D3-460A0D83901D}"/>
    <cellStyle name="20% - Accent2 2 2 5" xfId="280" xr:uid="{00000000-0005-0000-0000-000018010000}"/>
    <cellStyle name="20% - Accent2 2 2 5 2" xfId="281" xr:uid="{00000000-0005-0000-0000-000019010000}"/>
    <cellStyle name="20% - Accent2 2 2 5 2 2" xfId="31813" xr:uid="{679CC16D-8BD1-4A2E-9260-4A04D417743D}"/>
    <cellStyle name="20% - Accent2 2 2 5 3" xfId="31812" xr:uid="{071DCEAD-A122-4BE8-9BF5-1F1289DB5985}"/>
    <cellStyle name="20% - Accent2 2 2 6" xfId="282" xr:uid="{00000000-0005-0000-0000-00001A010000}"/>
    <cellStyle name="20% - Accent2 2 2 6 2" xfId="31814" xr:uid="{DBAE3B1E-1F42-4CCB-8D1A-8616EC0E0E9E}"/>
    <cellStyle name="20% - Accent2 2 2 7" xfId="31799" xr:uid="{AFE6DC79-05BB-4967-8066-0331284D9607}"/>
    <cellStyle name="20% - Accent2 2 3" xfId="283" xr:uid="{00000000-0005-0000-0000-00001B010000}"/>
    <cellStyle name="20% - Accent2 2 3 2" xfId="284" xr:uid="{00000000-0005-0000-0000-00001C010000}"/>
    <cellStyle name="20% - Accent2 2 3 2 2" xfId="285" xr:uid="{00000000-0005-0000-0000-00001D010000}"/>
    <cellStyle name="20% - Accent2 2 3 2 2 2" xfId="286" xr:uid="{00000000-0005-0000-0000-00001E010000}"/>
    <cellStyle name="20% - Accent2 2 3 2 3" xfId="287" xr:uid="{00000000-0005-0000-0000-00001F010000}"/>
    <cellStyle name="20% - Accent2 2 3 3" xfId="288" xr:uid="{00000000-0005-0000-0000-000020010000}"/>
    <cellStyle name="20% - Accent2 2 3 3 2" xfId="289" xr:uid="{00000000-0005-0000-0000-000021010000}"/>
    <cellStyle name="20% - Accent2 2 3 3 2 2" xfId="290" xr:uid="{00000000-0005-0000-0000-000022010000}"/>
    <cellStyle name="20% - Accent2 2 3 3 2 2 2" xfId="291" xr:uid="{00000000-0005-0000-0000-000023010000}"/>
    <cellStyle name="20% - Accent2 2 3 3 2 3" xfId="292" xr:uid="{00000000-0005-0000-0000-000024010000}"/>
    <cellStyle name="20% - Accent2 2 3 3 3" xfId="293" xr:uid="{00000000-0005-0000-0000-000025010000}"/>
    <cellStyle name="20% - Accent2 2 3 3 3 2" xfId="294" xr:uid="{00000000-0005-0000-0000-000026010000}"/>
    <cellStyle name="20% - Accent2 2 3 3 4" xfId="295" xr:uid="{00000000-0005-0000-0000-000027010000}"/>
    <cellStyle name="20% - Accent2 2 3 4" xfId="296" xr:uid="{00000000-0005-0000-0000-000028010000}"/>
    <cellStyle name="20% - Accent2 2 3 4 2" xfId="297" xr:uid="{00000000-0005-0000-0000-000029010000}"/>
    <cellStyle name="20% - Accent2 2 3 5" xfId="298" xr:uid="{00000000-0005-0000-0000-00002A010000}"/>
    <cellStyle name="20% - Accent2 2 4" xfId="299" xr:uid="{00000000-0005-0000-0000-00002B010000}"/>
    <cellStyle name="20% - Accent2 2 4 2" xfId="300" xr:uid="{00000000-0005-0000-0000-00002C010000}"/>
    <cellStyle name="20% - Accent2 2 4 2 2" xfId="301" xr:uid="{00000000-0005-0000-0000-00002D010000}"/>
    <cellStyle name="20% - Accent2 2 4 2 2 2" xfId="302" xr:uid="{00000000-0005-0000-0000-00002E010000}"/>
    <cellStyle name="20% - Accent2 2 4 2 3" xfId="303" xr:uid="{00000000-0005-0000-0000-00002F010000}"/>
    <cellStyle name="20% - Accent2 2 4 3" xfId="304" xr:uid="{00000000-0005-0000-0000-000030010000}"/>
    <cellStyle name="20% - Accent2 2 4 3 2" xfId="305" xr:uid="{00000000-0005-0000-0000-000031010000}"/>
    <cellStyle name="20% - Accent2 2 4 4" xfId="306" xr:uid="{00000000-0005-0000-0000-000032010000}"/>
    <cellStyle name="20% - Accent2 2 5" xfId="307" xr:uid="{00000000-0005-0000-0000-000033010000}"/>
    <cellStyle name="20% - Accent2 2 5 2" xfId="308" xr:uid="{00000000-0005-0000-0000-000034010000}"/>
    <cellStyle name="20% - Accent2 2 5 2 2" xfId="309" xr:uid="{00000000-0005-0000-0000-000035010000}"/>
    <cellStyle name="20% - Accent2 2 5 2 2 2" xfId="310" xr:uid="{00000000-0005-0000-0000-000036010000}"/>
    <cellStyle name="20% - Accent2 2 5 2 3" xfId="311" xr:uid="{00000000-0005-0000-0000-000037010000}"/>
    <cellStyle name="20% - Accent2 2 5 3" xfId="312" xr:uid="{00000000-0005-0000-0000-000038010000}"/>
    <cellStyle name="20% - Accent2 2 5 3 2" xfId="313" xr:uid="{00000000-0005-0000-0000-000039010000}"/>
    <cellStyle name="20% - Accent2 2 5 3 2 2" xfId="314" xr:uid="{00000000-0005-0000-0000-00003A010000}"/>
    <cellStyle name="20% - Accent2 2 5 3 2 2 2" xfId="315" xr:uid="{00000000-0005-0000-0000-00003B010000}"/>
    <cellStyle name="20% - Accent2 2 5 3 2 3" xfId="316" xr:uid="{00000000-0005-0000-0000-00003C010000}"/>
    <cellStyle name="20% - Accent2 2 5 3 3" xfId="317" xr:uid="{00000000-0005-0000-0000-00003D010000}"/>
    <cellStyle name="20% - Accent2 2 5 3 3 2" xfId="318" xr:uid="{00000000-0005-0000-0000-00003E010000}"/>
    <cellStyle name="20% - Accent2 2 5 3 4" xfId="319" xr:uid="{00000000-0005-0000-0000-00003F010000}"/>
    <cellStyle name="20% - Accent2 2 5 4" xfId="320" xr:uid="{00000000-0005-0000-0000-000040010000}"/>
    <cellStyle name="20% - Accent2 2 5 4 2" xfId="321" xr:uid="{00000000-0005-0000-0000-000041010000}"/>
    <cellStyle name="20% - Accent2 2 5 5" xfId="322" xr:uid="{00000000-0005-0000-0000-000042010000}"/>
    <cellStyle name="20% - Accent2 2 6" xfId="323" xr:uid="{00000000-0005-0000-0000-000043010000}"/>
    <cellStyle name="20% - Accent2 2 6 2" xfId="324" xr:uid="{00000000-0005-0000-0000-000044010000}"/>
    <cellStyle name="20% - Accent2 2 6 2 2" xfId="325" xr:uid="{00000000-0005-0000-0000-000045010000}"/>
    <cellStyle name="20% - Accent2 2 6 3" xfId="326" xr:uid="{00000000-0005-0000-0000-000046010000}"/>
    <cellStyle name="20% - Accent2 2 7" xfId="327" xr:uid="{00000000-0005-0000-0000-000047010000}"/>
    <cellStyle name="20% - Accent2 2 7 2" xfId="328" xr:uid="{00000000-0005-0000-0000-000048010000}"/>
    <cellStyle name="20% - Accent2 2 7 2 2" xfId="329" xr:uid="{00000000-0005-0000-0000-000049010000}"/>
    <cellStyle name="20% - Accent2 2 7 2 2 2" xfId="31817" xr:uid="{7E63925B-52D4-42F4-A368-E4428D44FCA6}"/>
    <cellStyle name="20% - Accent2 2 7 2 3" xfId="31816" xr:uid="{E0859015-641F-4FB3-A309-CCFCB06778C3}"/>
    <cellStyle name="20% - Accent2 2 7 3" xfId="330" xr:uid="{00000000-0005-0000-0000-00004A010000}"/>
    <cellStyle name="20% - Accent2 2 7 3 2" xfId="31818" xr:uid="{A2CD7045-EFF1-467E-B6D1-0133BA4812B2}"/>
    <cellStyle name="20% - Accent2 2 7 4" xfId="31815" xr:uid="{B2736CC8-EDB8-433A-94C2-BCDA9091C450}"/>
    <cellStyle name="20% - Accent2 2 8" xfId="331" xr:uid="{00000000-0005-0000-0000-00004B010000}"/>
    <cellStyle name="20% - Accent2 2 8 2" xfId="332" xr:uid="{00000000-0005-0000-0000-00004C010000}"/>
    <cellStyle name="20% - Accent2 2 8 2 2" xfId="333" xr:uid="{00000000-0005-0000-0000-00004D010000}"/>
    <cellStyle name="20% - Accent2 2 8 2 2 2" xfId="334" xr:uid="{00000000-0005-0000-0000-00004E010000}"/>
    <cellStyle name="20% - Accent2 2 8 2 2 2 2" xfId="31822" xr:uid="{2E0B2DF9-7C7B-4AED-89E6-19DA649FDC03}"/>
    <cellStyle name="20% - Accent2 2 8 2 2 3" xfId="31821" xr:uid="{A558F2A0-A65D-45D5-889B-4BDA033775C5}"/>
    <cellStyle name="20% - Accent2 2 8 2 3" xfId="335" xr:uid="{00000000-0005-0000-0000-00004F010000}"/>
    <cellStyle name="20% - Accent2 2 8 2 3 2" xfId="31823" xr:uid="{5A3B7193-5E9D-44B5-B7AE-ADF763BDC0D2}"/>
    <cellStyle name="20% - Accent2 2 8 2 4" xfId="31820" xr:uid="{A58F61E2-9C76-4DBF-9FBE-8AB0B692E233}"/>
    <cellStyle name="20% - Accent2 2 8 3" xfId="336" xr:uid="{00000000-0005-0000-0000-000050010000}"/>
    <cellStyle name="20% - Accent2 2 8 3 2" xfId="337" xr:uid="{00000000-0005-0000-0000-000051010000}"/>
    <cellStyle name="20% - Accent2 2 8 3 2 2" xfId="31825" xr:uid="{A89A40BF-EC6E-4F94-91E9-3B4D6A73C932}"/>
    <cellStyle name="20% - Accent2 2 8 3 3" xfId="31824" xr:uid="{E3F55AC0-7ACF-47C5-B74E-31E5A3D852FF}"/>
    <cellStyle name="20% - Accent2 2 8 4" xfId="338" xr:uid="{00000000-0005-0000-0000-000052010000}"/>
    <cellStyle name="20% - Accent2 2 8 4 2" xfId="31826" xr:uid="{92EF735C-949F-417C-AB1E-0CEBB4F0765E}"/>
    <cellStyle name="20% - Accent2 2 8 5" xfId="31819" xr:uid="{035AB660-86AE-4571-A000-580F240324C8}"/>
    <cellStyle name="20% - Accent2 2 9" xfId="339" xr:uid="{00000000-0005-0000-0000-000053010000}"/>
    <cellStyle name="20% - Accent2 2 9 2" xfId="340" xr:uid="{00000000-0005-0000-0000-000054010000}"/>
    <cellStyle name="20% - Accent2 2 9 2 2" xfId="31828" xr:uid="{79102400-6FB1-42ED-A4D5-3BB934F45F4F}"/>
    <cellStyle name="20% - Accent2 2 9 3" xfId="31827" xr:uid="{53EB2F65-3991-45F4-8B88-D677CF8C0D7E}"/>
    <cellStyle name="20% - Accent2 3" xfId="341" xr:uid="{00000000-0005-0000-0000-000055010000}"/>
    <cellStyle name="20% - Accent2 3 2" xfId="342" xr:uid="{00000000-0005-0000-0000-000056010000}"/>
    <cellStyle name="20% - Accent2 3 2 2" xfId="343" xr:uid="{00000000-0005-0000-0000-000057010000}"/>
    <cellStyle name="20% - Accent2 3 2 2 2" xfId="344" xr:uid="{00000000-0005-0000-0000-000058010000}"/>
    <cellStyle name="20% - Accent2 3 2 3" xfId="345" xr:uid="{00000000-0005-0000-0000-000059010000}"/>
    <cellStyle name="20% - Accent2 3 3" xfId="346" xr:uid="{00000000-0005-0000-0000-00005A010000}"/>
    <cellStyle name="20% - Accent2 3 3 2" xfId="347" xr:uid="{00000000-0005-0000-0000-00005B010000}"/>
    <cellStyle name="20% - Accent2 3 4" xfId="348" xr:uid="{00000000-0005-0000-0000-00005C010000}"/>
    <cellStyle name="20% - Accent2 3 4 2" xfId="349" xr:uid="{00000000-0005-0000-0000-00005D010000}"/>
    <cellStyle name="20% - Accent2 3 4 2 2" xfId="350" xr:uid="{00000000-0005-0000-0000-00005E010000}"/>
    <cellStyle name="20% - Accent2 3 4 3" xfId="351" xr:uid="{00000000-0005-0000-0000-00005F010000}"/>
    <cellStyle name="20% - Accent2 3 5" xfId="352" xr:uid="{00000000-0005-0000-0000-000060010000}"/>
    <cellStyle name="20% - Accent2 3 6" xfId="31829" xr:uid="{FB51E163-5AF1-427C-9AB5-E4F942503263}"/>
    <cellStyle name="20% - Accent2 4" xfId="353" xr:uid="{00000000-0005-0000-0000-000061010000}"/>
    <cellStyle name="20% - Accent2 4 2" xfId="354" xr:uid="{00000000-0005-0000-0000-000062010000}"/>
    <cellStyle name="20% - Accent2 4 2 2" xfId="355" xr:uid="{00000000-0005-0000-0000-000063010000}"/>
    <cellStyle name="20% - Accent2 4 3" xfId="356" xr:uid="{00000000-0005-0000-0000-000064010000}"/>
    <cellStyle name="20% - Accent2 4 3 2" xfId="357" xr:uid="{00000000-0005-0000-0000-000065010000}"/>
    <cellStyle name="20% - Accent2 4 3 2 2" xfId="358" xr:uid="{00000000-0005-0000-0000-000066010000}"/>
    <cellStyle name="20% - Accent2 4 3 3" xfId="359" xr:uid="{00000000-0005-0000-0000-000067010000}"/>
    <cellStyle name="20% - Accent2 4 4" xfId="360" xr:uid="{00000000-0005-0000-0000-000068010000}"/>
    <cellStyle name="20% - Accent2 4 5" xfId="31830" xr:uid="{8FBC7E91-83D3-487E-8DD2-CB44AFE0B5F4}"/>
    <cellStyle name="20% - Accent2 5" xfId="361" xr:uid="{00000000-0005-0000-0000-000069010000}"/>
    <cellStyle name="20% - Accent2 5 2" xfId="362" xr:uid="{00000000-0005-0000-0000-00006A010000}"/>
    <cellStyle name="20% - Accent2 5 2 2" xfId="363" xr:uid="{00000000-0005-0000-0000-00006B010000}"/>
    <cellStyle name="20% - Accent2 5 2 2 2" xfId="364" xr:uid="{00000000-0005-0000-0000-00006C010000}"/>
    <cellStyle name="20% - Accent2 5 2 2 2 2" xfId="31834" xr:uid="{3CDFDFD4-B69E-4FF7-A416-58A5413735D4}"/>
    <cellStyle name="20% - Accent2 5 2 2 3" xfId="31833" xr:uid="{3F612CB3-0482-40A7-90F7-D7660E980228}"/>
    <cellStyle name="20% - Accent2 5 2 3" xfId="365" xr:uid="{00000000-0005-0000-0000-00006D010000}"/>
    <cellStyle name="20% - Accent2 5 2 3 2" xfId="31835" xr:uid="{15B4CDDB-7FB6-40EF-9F93-D2F886CE3336}"/>
    <cellStyle name="20% - Accent2 5 2 4" xfId="31832" xr:uid="{B5CC2160-5CD1-4237-9E31-2B36CD5185F6}"/>
    <cellStyle name="20% - Accent2 5 3" xfId="366" xr:uid="{00000000-0005-0000-0000-00006E010000}"/>
    <cellStyle name="20% - Accent2 5 3 2" xfId="367" xr:uid="{00000000-0005-0000-0000-00006F010000}"/>
    <cellStyle name="20% - Accent2 5 3 2 2" xfId="368" xr:uid="{00000000-0005-0000-0000-000070010000}"/>
    <cellStyle name="20% - Accent2 5 3 2 2 2" xfId="369" xr:uid="{00000000-0005-0000-0000-000071010000}"/>
    <cellStyle name="20% - Accent2 5 3 2 2 2 2" xfId="31839" xr:uid="{0B73AA34-9B5F-4C2C-90CA-B0FC5ED5CFBF}"/>
    <cellStyle name="20% - Accent2 5 3 2 2 3" xfId="31838" xr:uid="{8C60DD49-5C6E-413F-81BC-DF62862BB3C1}"/>
    <cellStyle name="20% - Accent2 5 3 2 3" xfId="370" xr:uid="{00000000-0005-0000-0000-000072010000}"/>
    <cellStyle name="20% - Accent2 5 3 2 3 2" xfId="31840" xr:uid="{E6824AA2-EA01-4DEE-BBE6-BA1C984D8EC4}"/>
    <cellStyle name="20% - Accent2 5 3 2 4" xfId="31837" xr:uid="{24F96CAC-5C6F-40EC-A2AB-414ABE88531F}"/>
    <cellStyle name="20% - Accent2 5 3 3" xfId="371" xr:uid="{00000000-0005-0000-0000-000073010000}"/>
    <cellStyle name="20% - Accent2 5 3 3 2" xfId="372" xr:uid="{00000000-0005-0000-0000-000074010000}"/>
    <cellStyle name="20% - Accent2 5 3 3 2 2" xfId="31842" xr:uid="{D59DD551-0B6B-4F54-A0F1-DBCCC28CBBD9}"/>
    <cellStyle name="20% - Accent2 5 3 3 3" xfId="31841" xr:uid="{2198A73C-B0D6-4B20-A837-F9A0F0AA2624}"/>
    <cellStyle name="20% - Accent2 5 3 4" xfId="373" xr:uid="{00000000-0005-0000-0000-000075010000}"/>
    <cellStyle name="20% - Accent2 5 3 4 2" xfId="31843" xr:uid="{E09C66CC-00A1-4E08-827E-4B6A20200A06}"/>
    <cellStyle name="20% - Accent2 5 3 5" xfId="31836" xr:uid="{FBA6EDBC-AF2D-4AC1-BE1D-D3DF9C365EE1}"/>
    <cellStyle name="20% - Accent2 5 4" xfId="374" xr:uid="{00000000-0005-0000-0000-000076010000}"/>
    <cellStyle name="20% - Accent2 5 4 2" xfId="375" xr:uid="{00000000-0005-0000-0000-000077010000}"/>
    <cellStyle name="20% - Accent2 5 4 2 2" xfId="31845" xr:uid="{38322111-5365-4E3B-8087-6F406B1E9887}"/>
    <cellStyle name="20% - Accent2 5 4 3" xfId="31844" xr:uid="{D5B0E0DE-6376-4623-9B16-304D3DB6AB1B}"/>
    <cellStyle name="20% - Accent2 5 5" xfId="376" xr:uid="{00000000-0005-0000-0000-000078010000}"/>
    <cellStyle name="20% - Accent2 5 5 2" xfId="31846" xr:uid="{C85849AE-C807-4FAD-9363-472975C81F05}"/>
    <cellStyle name="20% - Accent2 5 6" xfId="31831" xr:uid="{B07F3C28-B4E1-442A-9296-1FB01891E9DE}"/>
    <cellStyle name="20% - Accent2 6" xfId="377" xr:uid="{00000000-0005-0000-0000-000079010000}"/>
    <cellStyle name="20% - Accent2 6 2" xfId="378" xr:uid="{00000000-0005-0000-0000-00007A010000}"/>
    <cellStyle name="20% - Accent2 6 2 2" xfId="379" xr:uid="{00000000-0005-0000-0000-00007B010000}"/>
    <cellStyle name="20% - Accent2 6 2 2 2" xfId="380" xr:uid="{00000000-0005-0000-0000-00007C010000}"/>
    <cellStyle name="20% - Accent2 6 2 3" xfId="381" xr:uid="{00000000-0005-0000-0000-00007D010000}"/>
    <cellStyle name="20% - Accent2 6 3" xfId="382" xr:uid="{00000000-0005-0000-0000-00007E010000}"/>
    <cellStyle name="20% - Accent2 6 3 2" xfId="383" xr:uid="{00000000-0005-0000-0000-00007F010000}"/>
    <cellStyle name="20% - Accent2 6 4" xfId="384" xr:uid="{00000000-0005-0000-0000-000080010000}"/>
    <cellStyle name="20% - Accent2 7" xfId="385" xr:uid="{00000000-0005-0000-0000-000081010000}"/>
    <cellStyle name="20% - Accent2 8" xfId="386" xr:uid="{00000000-0005-0000-0000-000082010000}"/>
    <cellStyle name="20% - Accent3 2" xfId="387" xr:uid="{00000000-0005-0000-0000-000083010000}"/>
    <cellStyle name="20% - Accent3 2 10" xfId="388" xr:uid="{00000000-0005-0000-0000-000084010000}"/>
    <cellStyle name="20% - Accent3 2 10 2" xfId="389" xr:uid="{00000000-0005-0000-0000-000085010000}"/>
    <cellStyle name="20% - Accent3 2 10 2 2" xfId="31849" xr:uid="{FD7D03EE-6745-4631-A892-0E78D69AC380}"/>
    <cellStyle name="20% - Accent3 2 10 3" xfId="31848" xr:uid="{3C0A9EF9-C318-4490-A558-30ECAF498E23}"/>
    <cellStyle name="20% - Accent3 2 11" xfId="390" xr:uid="{00000000-0005-0000-0000-000086010000}"/>
    <cellStyle name="20% - Accent3 2 11 2" xfId="31850" xr:uid="{2E9356B1-03F6-44FE-90D5-423B5A95D949}"/>
    <cellStyle name="20% - Accent3 2 12" xfId="31847" xr:uid="{398C898C-0DEB-4A2C-98E4-71BE0195BC20}"/>
    <cellStyle name="20% - Accent3 2 2" xfId="391" xr:uid="{00000000-0005-0000-0000-000087010000}"/>
    <cellStyle name="20% - Accent3 2 2 2" xfId="392" xr:uid="{00000000-0005-0000-0000-000088010000}"/>
    <cellStyle name="20% - Accent3 2 2 2 2" xfId="393" xr:uid="{00000000-0005-0000-0000-000089010000}"/>
    <cellStyle name="20% - Accent3 2 2 2 2 2" xfId="394" xr:uid="{00000000-0005-0000-0000-00008A010000}"/>
    <cellStyle name="20% - Accent3 2 2 2 3" xfId="395" xr:uid="{00000000-0005-0000-0000-00008B010000}"/>
    <cellStyle name="20% - Accent3 2 2 2 3 2" xfId="396" xr:uid="{00000000-0005-0000-0000-00008C010000}"/>
    <cellStyle name="20% - Accent3 2 2 2 3 2 2" xfId="397" xr:uid="{00000000-0005-0000-0000-00008D010000}"/>
    <cellStyle name="20% - Accent3 2 2 2 3 3" xfId="398" xr:uid="{00000000-0005-0000-0000-00008E010000}"/>
    <cellStyle name="20% - Accent3 2 2 2 4" xfId="399" xr:uid="{00000000-0005-0000-0000-00008F010000}"/>
    <cellStyle name="20% - Accent3 2 2 3" xfId="400" xr:uid="{00000000-0005-0000-0000-000090010000}"/>
    <cellStyle name="20% - Accent3 2 2 3 2" xfId="401" xr:uid="{00000000-0005-0000-0000-000091010000}"/>
    <cellStyle name="20% - Accent3 2 2 3 2 2" xfId="402" xr:uid="{00000000-0005-0000-0000-000092010000}"/>
    <cellStyle name="20% - Accent3 2 2 3 2 2 2" xfId="31854" xr:uid="{3179834B-865B-4977-B20A-3A86F891D16B}"/>
    <cellStyle name="20% - Accent3 2 2 3 2 3" xfId="31853" xr:uid="{1550E9A3-75B2-4804-94FA-2AEF94BE80C8}"/>
    <cellStyle name="20% - Accent3 2 2 3 3" xfId="403" xr:uid="{00000000-0005-0000-0000-000093010000}"/>
    <cellStyle name="20% - Accent3 2 2 3 3 2" xfId="31855" xr:uid="{D6B5A4B7-7965-4B72-8382-427AB9672E7F}"/>
    <cellStyle name="20% - Accent3 2 2 3 4" xfId="31852" xr:uid="{BE0E3262-4B0D-4749-8F73-F268A254A223}"/>
    <cellStyle name="20% - Accent3 2 2 4" xfId="404" xr:uid="{00000000-0005-0000-0000-000094010000}"/>
    <cellStyle name="20% - Accent3 2 2 4 2" xfId="405" xr:uid="{00000000-0005-0000-0000-000095010000}"/>
    <cellStyle name="20% - Accent3 2 2 4 2 2" xfId="406" xr:uid="{00000000-0005-0000-0000-000096010000}"/>
    <cellStyle name="20% - Accent3 2 2 4 2 2 2" xfId="407" xr:uid="{00000000-0005-0000-0000-000097010000}"/>
    <cellStyle name="20% - Accent3 2 2 4 2 2 2 2" xfId="31859" xr:uid="{F33313D8-C196-4292-B449-45CF5A34D7C6}"/>
    <cellStyle name="20% - Accent3 2 2 4 2 2 3" xfId="31858" xr:uid="{8A63F6BF-0126-4163-A361-D8109BFFC804}"/>
    <cellStyle name="20% - Accent3 2 2 4 2 3" xfId="408" xr:uid="{00000000-0005-0000-0000-000098010000}"/>
    <cellStyle name="20% - Accent3 2 2 4 2 3 2" xfId="31860" xr:uid="{CFE7F609-06A1-4FF4-BDF7-8129A204551F}"/>
    <cellStyle name="20% - Accent3 2 2 4 2 4" xfId="31857" xr:uid="{60F339D4-F2C9-4307-A084-4760C7DCBF33}"/>
    <cellStyle name="20% - Accent3 2 2 4 3" xfId="409" xr:uid="{00000000-0005-0000-0000-000099010000}"/>
    <cellStyle name="20% - Accent3 2 2 4 3 2" xfId="410" xr:uid="{00000000-0005-0000-0000-00009A010000}"/>
    <cellStyle name="20% - Accent3 2 2 4 3 2 2" xfId="31862" xr:uid="{F62DC903-0268-471B-BACD-2C4373D94B4E}"/>
    <cellStyle name="20% - Accent3 2 2 4 3 3" xfId="31861" xr:uid="{07F36650-5276-4F71-8B8D-8DDB831AFB83}"/>
    <cellStyle name="20% - Accent3 2 2 4 4" xfId="411" xr:uid="{00000000-0005-0000-0000-00009B010000}"/>
    <cellStyle name="20% - Accent3 2 2 4 4 2" xfId="31863" xr:uid="{5125C246-4CAC-440B-9CC9-52788E6569B1}"/>
    <cellStyle name="20% - Accent3 2 2 4 5" xfId="31856" xr:uid="{2EE33198-32E5-4F79-ABE9-C9692BE0E361}"/>
    <cellStyle name="20% - Accent3 2 2 5" xfId="412" xr:uid="{00000000-0005-0000-0000-00009C010000}"/>
    <cellStyle name="20% - Accent3 2 2 5 2" xfId="413" xr:uid="{00000000-0005-0000-0000-00009D010000}"/>
    <cellStyle name="20% - Accent3 2 2 5 2 2" xfId="31865" xr:uid="{13E610BC-5A29-4F02-A189-1D40CD2078E4}"/>
    <cellStyle name="20% - Accent3 2 2 5 3" xfId="31864" xr:uid="{C81F5318-2753-4AC3-8440-8E5CA9CBA1DB}"/>
    <cellStyle name="20% - Accent3 2 2 6" xfId="414" xr:uid="{00000000-0005-0000-0000-00009E010000}"/>
    <cellStyle name="20% - Accent3 2 2 6 2" xfId="31866" xr:uid="{BA06FDD9-D601-4516-BE6F-174C734D2CE5}"/>
    <cellStyle name="20% - Accent3 2 2 7" xfId="31851" xr:uid="{459A6E06-C548-4664-9BAD-32C4370E6880}"/>
    <cellStyle name="20% - Accent3 2 3" xfId="415" xr:uid="{00000000-0005-0000-0000-00009F010000}"/>
    <cellStyle name="20% - Accent3 2 3 2" xfId="416" xr:uid="{00000000-0005-0000-0000-0000A0010000}"/>
    <cellStyle name="20% - Accent3 2 3 2 2" xfId="417" xr:uid="{00000000-0005-0000-0000-0000A1010000}"/>
    <cellStyle name="20% - Accent3 2 3 2 2 2" xfId="418" xr:uid="{00000000-0005-0000-0000-0000A2010000}"/>
    <cellStyle name="20% - Accent3 2 3 2 2 2 2" xfId="31870" xr:uid="{03B895F6-BA21-4761-B76A-ACEC30C06528}"/>
    <cellStyle name="20% - Accent3 2 3 2 2 3" xfId="31869" xr:uid="{49938DD6-4A71-4F21-B4FE-940761B6031E}"/>
    <cellStyle name="20% - Accent3 2 3 2 3" xfId="419" xr:uid="{00000000-0005-0000-0000-0000A3010000}"/>
    <cellStyle name="20% - Accent3 2 3 2 3 2" xfId="31871" xr:uid="{7BDE9398-0600-4A63-BAF0-2B0ED19E406E}"/>
    <cellStyle name="20% - Accent3 2 3 2 4" xfId="31868" xr:uid="{863BF084-9FFE-4122-B0FC-BE9384F9BF2B}"/>
    <cellStyle name="20% - Accent3 2 3 3" xfId="420" xr:uid="{00000000-0005-0000-0000-0000A4010000}"/>
    <cellStyle name="20% - Accent3 2 3 3 2" xfId="421" xr:uid="{00000000-0005-0000-0000-0000A5010000}"/>
    <cellStyle name="20% - Accent3 2 3 3 2 2" xfId="422" xr:uid="{00000000-0005-0000-0000-0000A6010000}"/>
    <cellStyle name="20% - Accent3 2 3 3 2 2 2" xfId="423" xr:uid="{00000000-0005-0000-0000-0000A7010000}"/>
    <cellStyle name="20% - Accent3 2 3 3 2 3" xfId="424" xr:uid="{00000000-0005-0000-0000-0000A8010000}"/>
    <cellStyle name="20% - Accent3 2 3 3 2 4" xfId="31873" xr:uid="{5834F10A-FA87-44F2-9FCF-8C9FB787358B}"/>
    <cellStyle name="20% - Accent3 2 3 3 3" xfId="425" xr:uid="{00000000-0005-0000-0000-0000A9010000}"/>
    <cellStyle name="20% - Accent3 2 3 3 3 2" xfId="426" xr:uid="{00000000-0005-0000-0000-0000AA010000}"/>
    <cellStyle name="20% - Accent3 2 3 3 4" xfId="427" xr:uid="{00000000-0005-0000-0000-0000AB010000}"/>
    <cellStyle name="20% - Accent3 2 3 3 5" xfId="31872" xr:uid="{D3696A18-6F26-40AD-B098-BE8DC71E1805}"/>
    <cellStyle name="20% - Accent3 2 3 4" xfId="428" xr:uid="{00000000-0005-0000-0000-0000AC010000}"/>
    <cellStyle name="20% - Accent3 2 3 4 2" xfId="429" xr:uid="{00000000-0005-0000-0000-0000AD010000}"/>
    <cellStyle name="20% - Accent3 2 3 5" xfId="430" xr:uid="{00000000-0005-0000-0000-0000AE010000}"/>
    <cellStyle name="20% - Accent3 2 3 6" xfId="31867" xr:uid="{643FF44A-63CD-4175-BA73-5B6863282774}"/>
    <cellStyle name="20% - Accent3 2 4" xfId="431" xr:uid="{00000000-0005-0000-0000-0000AF010000}"/>
    <cellStyle name="20% - Accent3 2 4 2" xfId="432" xr:uid="{00000000-0005-0000-0000-0000B0010000}"/>
    <cellStyle name="20% - Accent3 2 4 2 2" xfId="433" xr:uid="{00000000-0005-0000-0000-0000B1010000}"/>
    <cellStyle name="20% - Accent3 2 4 2 2 2" xfId="434" xr:uid="{00000000-0005-0000-0000-0000B2010000}"/>
    <cellStyle name="20% - Accent3 2 4 2 3" xfId="435" xr:uid="{00000000-0005-0000-0000-0000B3010000}"/>
    <cellStyle name="20% - Accent3 2 4 3" xfId="436" xr:uid="{00000000-0005-0000-0000-0000B4010000}"/>
    <cellStyle name="20% - Accent3 2 4 3 2" xfId="437" xr:uid="{00000000-0005-0000-0000-0000B5010000}"/>
    <cellStyle name="20% - Accent3 2 4 4" xfId="438" xr:uid="{00000000-0005-0000-0000-0000B6010000}"/>
    <cellStyle name="20% - Accent3 2 5" xfId="439" xr:uid="{00000000-0005-0000-0000-0000B7010000}"/>
    <cellStyle name="20% - Accent3 2 5 2" xfId="440" xr:uid="{00000000-0005-0000-0000-0000B8010000}"/>
    <cellStyle name="20% - Accent3 2 5 2 2" xfId="441" xr:uid="{00000000-0005-0000-0000-0000B9010000}"/>
    <cellStyle name="20% - Accent3 2 5 2 2 2" xfId="442" xr:uid="{00000000-0005-0000-0000-0000BA010000}"/>
    <cellStyle name="20% - Accent3 2 5 2 3" xfId="443" xr:uid="{00000000-0005-0000-0000-0000BB010000}"/>
    <cellStyle name="20% - Accent3 2 5 3" xfId="444" xr:uid="{00000000-0005-0000-0000-0000BC010000}"/>
    <cellStyle name="20% - Accent3 2 5 3 2" xfId="445" xr:uid="{00000000-0005-0000-0000-0000BD010000}"/>
    <cellStyle name="20% - Accent3 2 5 3 2 2" xfId="446" xr:uid="{00000000-0005-0000-0000-0000BE010000}"/>
    <cellStyle name="20% - Accent3 2 5 3 2 2 2" xfId="447" xr:uid="{00000000-0005-0000-0000-0000BF010000}"/>
    <cellStyle name="20% - Accent3 2 5 3 2 3" xfId="448" xr:uid="{00000000-0005-0000-0000-0000C0010000}"/>
    <cellStyle name="20% - Accent3 2 5 3 3" xfId="449" xr:uid="{00000000-0005-0000-0000-0000C1010000}"/>
    <cellStyle name="20% - Accent3 2 5 3 3 2" xfId="450" xr:uid="{00000000-0005-0000-0000-0000C2010000}"/>
    <cellStyle name="20% - Accent3 2 5 3 4" xfId="451" xr:uid="{00000000-0005-0000-0000-0000C3010000}"/>
    <cellStyle name="20% - Accent3 2 5 4" xfId="452" xr:uid="{00000000-0005-0000-0000-0000C4010000}"/>
    <cellStyle name="20% - Accent3 2 5 4 2" xfId="453" xr:uid="{00000000-0005-0000-0000-0000C5010000}"/>
    <cellStyle name="20% - Accent3 2 5 5" xfId="454" xr:uid="{00000000-0005-0000-0000-0000C6010000}"/>
    <cellStyle name="20% - Accent3 2 6" xfId="455" xr:uid="{00000000-0005-0000-0000-0000C7010000}"/>
    <cellStyle name="20% - Accent3 2 6 2" xfId="456" xr:uid="{00000000-0005-0000-0000-0000C8010000}"/>
    <cellStyle name="20% - Accent3 2 6 2 2" xfId="457" xr:uid="{00000000-0005-0000-0000-0000C9010000}"/>
    <cellStyle name="20% - Accent3 2 6 3" xfId="458" xr:uid="{00000000-0005-0000-0000-0000CA010000}"/>
    <cellStyle name="20% - Accent3 2 7" xfId="459" xr:uid="{00000000-0005-0000-0000-0000CB010000}"/>
    <cellStyle name="20% - Accent3 2 7 2" xfId="460" xr:uid="{00000000-0005-0000-0000-0000CC010000}"/>
    <cellStyle name="20% - Accent3 2 7 2 2" xfId="461" xr:uid="{00000000-0005-0000-0000-0000CD010000}"/>
    <cellStyle name="20% - Accent3 2 7 3" xfId="462" xr:uid="{00000000-0005-0000-0000-0000CE010000}"/>
    <cellStyle name="20% - Accent3 2 8" xfId="463" xr:uid="{00000000-0005-0000-0000-0000CF010000}"/>
    <cellStyle name="20% - Accent3 2 8 2" xfId="464" xr:uid="{00000000-0005-0000-0000-0000D0010000}"/>
    <cellStyle name="20% - Accent3 2 8 2 2" xfId="465" xr:uid="{00000000-0005-0000-0000-0000D1010000}"/>
    <cellStyle name="20% - Accent3 2 8 2 2 2" xfId="466" xr:uid="{00000000-0005-0000-0000-0000D2010000}"/>
    <cellStyle name="20% - Accent3 2 8 2 3" xfId="467" xr:uid="{00000000-0005-0000-0000-0000D3010000}"/>
    <cellStyle name="20% - Accent3 2 8 3" xfId="468" xr:uid="{00000000-0005-0000-0000-0000D4010000}"/>
    <cellStyle name="20% - Accent3 2 8 3 2" xfId="469" xr:uid="{00000000-0005-0000-0000-0000D5010000}"/>
    <cellStyle name="20% - Accent3 2 8 4" xfId="470" xr:uid="{00000000-0005-0000-0000-0000D6010000}"/>
    <cellStyle name="20% - Accent3 2 9" xfId="471" xr:uid="{00000000-0005-0000-0000-0000D7010000}"/>
    <cellStyle name="20% - Accent3 2 9 2" xfId="472" xr:uid="{00000000-0005-0000-0000-0000D8010000}"/>
    <cellStyle name="20% - Accent3 3" xfId="473" xr:uid="{00000000-0005-0000-0000-0000D9010000}"/>
    <cellStyle name="20% - Accent3 3 2" xfId="474" xr:uid="{00000000-0005-0000-0000-0000DA010000}"/>
    <cellStyle name="20% - Accent3 3 2 2" xfId="475" xr:uid="{00000000-0005-0000-0000-0000DB010000}"/>
    <cellStyle name="20% - Accent3 3 2 2 2" xfId="476" xr:uid="{00000000-0005-0000-0000-0000DC010000}"/>
    <cellStyle name="20% - Accent3 3 2 3" xfId="477" xr:uid="{00000000-0005-0000-0000-0000DD010000}"/>
    <cellStyle name="20% - Accent3 3 3" xfId="478" xr:uid="{00000000-0005-0000-0000-0000DE010000}"/>
    <cellStyle name="20% - Accent3 3 3 2" xfId="479" xr:uid="{00000000-0005-0000-0000-0000DF010000}"/>
    <cellStyle name="20% - Accent3 3 4" xfId="480" xr:uid="{00000000-0005-0000-0000-0000E0010000}"/>
    <cellStyle name="20% - Accent3 3 4 2" xfId="481" xr:uid="{00000000-0005-0000-0000-0000E1010000}"/>
    <cellStyle name="20% - Accent3 3 4 2 2" xfId="482" xr:uid="{00000000-0005-0000-0000-0000E2010000}"/>
    <cellStyle name="20% - Accent3 3 4 3" xfId="483" xr:uid="{00000000-0005-0000-0000-0000E3010000}"/>
    <cellStyle name="20% - Accent3 3 5" xfId="484" xr:uid="{00000000-0005-0000-0000-0000E4010000}"/>
    <cellStyle name="20% - Accent3 4" xfId="485" xr:uid="{00000000-0005-0000-0000-0000E5010000}"/>
    <cellStyle name="20% - Accent3 4 2" xfId="486" xr:uid="{00000000-0005-0000-0000-0000E6010000}"/>
    <cellStyle name="20% - Accent3 4 2 2" xfId="487" xr:uid="{00000000-0005-0000-0000-0000E7010000}"/>
    <cellStyle name="20% - Accent3 4 3" xfId="488" xr:uid="{00000000-0005-0000-0000-0000E8010000}"/>
    <cellStyle name="20% - Accent3 4 3 2" xfId="489" xr:uid="{00000000-0005-0000-0000-0000E9010000}"/>
    <cellStyle name="20% - Accent3 4 3 2 2" xfId="490" xr:uid="{00000000-0005-0000-0000-0000EA010000}"/>
    <cellStyle name="20% - Accent3 4 3 3" xfId="491" xr:uid="{00000000-0005-0000-0000-0000EB010000}"/>
    <cellStyle name="20% - Accent3 4 4" xfId="492" xr:uid="{00000000-0005-0000-0000-0000EC010000}"/>
    <cellStyle name="20% - Accent3 5" xfId="493" xr:uid="{00000000-0005-0000-0000-0000ED010000}"/>
    <cellStyle name="20% - Accent3 5 2" xfId="494" xr:uid="{00000000-0005-0000-0000-0000EE010000}"/>
    <cellStyle name="20% - Accent3 5 2 2" xfId="495" xr:uid="{00000000-0005-0000-0000-0000EF010000}"/>
    <cellStyle name="20% - Accent3 5 2 2 2" xfId="496" xr:uid="{00000000-0005-0000-0000-0000F0010000}"/>
    <cellStyle name="20% - Accent3 5 2 3" xfId="497" xr:uid="{00000000-0005-0000-0000-0000F1010000}"/>
    <cellStyle name="20% - Accent3 5 3" xfId="498" xr:uid="{00000000-0005-0000-0000-0000F2010000}"/>
    <cellStyle name="20% - Accent3 5 3 2" xfId="499" xr:uid="{00000000-0005-0000-0000-0000F3010000}"/>
    <cellStyle name="20% - Accent3 5 3 2 2" xfId="500" xr:uid="{00000000-0005-0000-0000-0000F4010000}"/>
    <cellStyle name="20% - Accent3 5 3 2 2 2" xfId="501" xr:uid="{00000000-0005-0000-0000-0000F5010000}"/>
    <cellStyle name="20% - Accent3 5 3 2 3" xfId="502" xr:uid="{00000000-0005-0000-0000-0000F6010000}"/>
    <cellStyle name="20% - Accent3 5 3 3" xfId="503" xr:uid="{00000000-0005-0000-0000-0000F7010000}"/>
    <cellStyle name="20% - Accent3 5 3 3 2" xfId="504" xr:uid="{00000000-0005-0000-0000-0000F8010000}"/>
    <cellStyle name="20% - Accent3 5 3 4" xfId="505" xr:uid="{00000000-0005-0000-0000-0000F9010000}"/>
    <cellStyle name="20% - Accent3 5 4" xfId="506" xr:uid="{00000000-0005-0000-0000-0000FA010000}"/>
    <cellStyle name="20% - Accent3 5 4 2" xfId="507" xr:uid="{00000000-0005-0000-0000-0000FB010000}"/>
    <cellStyle name="20% - Accent3 5 5" xfId="508" xr:uid="{00000000-0005-0000-0000-0000FC010000}"/>
    <cellStyle name="20% - Accent3 6" xfId="509" xr:uid="{00000000-0005-0000-0000-0000FD010000}"/>
    <cellStyle name="20% - Accent3 6 2" xfId="510" xr:uid="{00000000-0005-0000-0000-0000FE010000}"/>
    <cellStyle name="20% - Accent3 6 2 2" xfId="511" xr:uid="{00000000-0005-0000-0000-0000FF010000}"/>
    <cellStyle name="20% - Accent3 6 2 2 2" xfId="512" xr:uid="{00000000-0005-0000-0000-000000020000}"/>
    <cellStyle name="20% - Accent3 6 2 3" xfId="513" xr:uid="{00000000-0005-0000-0000-000001020000}"/>
    <cellStyle name="20% - Accent3 6 3" xfId="514" xr:uid="{00000000-0005-0000-0000-000002020000}"/>
    <cellStyle name="20% - Accent3 6 3 2" xfId="515" xr:uid="{00000000-0005-0000-0000-000003020000}"/>
    <cellStyle name="20% - Accent3 6 4" xfId="516" xr:uid="{00000000-0005-0000-0000-000004020000}"/>
    <cellStyle name="20% - Accent3 7" xfId="517" xr:uid="{00000000-0005-0000-0000-000005020000}"/>
    <cellStyle name="20% - Accent3 8" xfId="518" xr:uid="{00000000-0005-0000-0000-000006020000}"/>
    <cellStyle name="20% - Accent4 2" xfId="519" xr:uid="{00000000-0005-0000-0000-000007020000}"/>
    <cellStyle name="20% - Accent4 2 10" xfId="520" xr:uid="{00000000-0005-0000-0000-000008020000}"/>
    <cellStyle name="20% - Accent4 2 10 2" xfId="521" xr:uid="{00000000-0005-0000-0000-000009020000}"/>
    <cellStyle name="20% - Accent4 2 11" xfId="522" xr:uid="{00000000-0005-0000-0000-00000A020000}"/>
    <cellStyle name="20% - Accent4 2 2" xfId="523" xr:uid="{00000000-0005-0000-0000-00000B020000}"/>
    <cellStyle name="20% - Accent4 2 2 2" xfId="524" xr:uid="{00000000-0005-0000-0000-00000C020000}"/>
    <cellStyle name="20% - Accent4 2 2 2 2" xfId="525" xr:uid="{00000000-0005-0000-0000-00000D020000}"/>
    <cellStyle name="20% - Accent4 2 2 2 2 2" xfId="526" xr:uid="{00000000-0005-0000-0000-00000E020000}"/>
    <cellStyle name="20% - Accent4 2 2 2 3" xfId="527" xr:uid="{00000000-0005-0000-0000-00000F020000}"/>
    <cellStyle name="20% - Accent4 2 2 2 3 2" xfId="528" xr:uid="{00000000-0005-0000-0000-000010020000}"/>
    <cellStyle name="20% - Accent4 2 2 2 3 2 2" xfId="529" xr:uid="{00000000-0005-0000-0000-000011020000}"/>
    <cellStyle name="20% - Accent4 2 2 2 3 3" xfId="530" xr:uid="{00000000-0005-0000-0000-000012020000}"/>
    <cellStyle name="20% - Accent4 2 2 2 4" xfId="531" xr:uid="{00000000-0005-0000-0000-000013020000}"/>
    <cellStyle name="20% - Accent4 2 2 3" xfId="532" xr:uid="{00000000-0005-0000-0000-000014020000}"/>
    <cellStyle name="20% - Accent4 2 2 3 2" xfId="533" xr:uid="{00000000-0005-0000-0000-000015020000}"/>
    <cellStyle name="20% - Accent4 2 2 3 2 2" xfId="534" xr:uid="{00000000-0005-0000-0000-000016020000}"/>
    <cellStyle name="20% - Accent4 2 2 3 3" xfId="535" xr:uid="{00000000-0005-0000-0000-000017020000}"/>
    <cellStyle name="20% - Accent4 2 2 4" xfId="536" xr:uid="{00000000-0005-0000-0000-000018020000}"/>
    <cellStyle name="20% - Accent4 2 2 4 2" xfId="537" xr:uid="{00000000-0005-0000-0000-000019020000}"/>
    <cellStyle name="20% - Accent4 2 2 4 2 2" xfId="538" xr:uid="{00000000-0005-0000-0000-00001A020000}"/>
    <cellStyle name="20% - Accent4 2 2 4 2 2 2" xfId="539" xr:uid="{00000000-0005-0000-0000-00001B020000}"/>
    <cellStyle name="20% - Accent4 2 2 4 2 3" xfId="540" xr:uid="{00000000-0005-0000-0000-00001C020000}"/>
    <cellStyle name="20% - Accent4 2 2 4 3" xfId="541" xr:uid="{00000000-0005-0000-0000-00001D020000}"/>
    <cellStyle name="20% - Accent4 2 2 4 3 2" xfId="542" xr:uid="{00000000-0005-0000-0000-00001E020000}"/>
    <cellStyle name="20% - Accent4 2 2 4 4" xfId="543" xr:uid="{00000000-0005-0000-0000-00001F020000}"/>
    <cellStyle name="20% - Accent4 2 2 5" xfId="544" xr:uid="{00000000-0005-0000-0000-000020020000}"/>
    <cellStyle name="20% - Accent4 2 2 5 2" xfId="545" xr:uid="{00000000-0005-0000-0000-000021020000}"/>
    <cellStyle name="20% - Accent4 2 2 6" xfId="546" xr:uid="{00000000-0005-0000-0000-000022020000}"/>
    <cellStyle name="20% - Accent4 2 3" xfId="547" xr:uid="{00000000-0005-0000-0000-000023020000}"/>
    <cellStyle name="20% - Accent4 2 3 2" xfId="548" xr:uid="{00000000-0005-0000-0000-000024020000}"/>
    <cellStyle name="20% - Accent4 2 3 2 2" xfId="549" xr:uid="{00000000-0005-0000-0000-000025020000}"/>
    <cellStyle name="20% - Accent4 2 3 2 2 2" xfId="550" xr:uid="{00000000-0005-0000-0000-000026020000}"/>
    <cellStyle name="20% - Accent4 2 3 2 3" xfId="551" xr:uid="{00000000-0005-0000-0000-000027020000}"/>
    <cellStyle name="20% - Accent4 2 3 3" xfId="552" xr:uid="{00000000-0005-0000-0000-000028020000}"/>
    <cellStyle name="20% - Accent4 2 3 3 2" xfId="553" xr:uid="{00000000-0005-0000-0000-000029020000}"/>
    <cellStyle name="20% - Accent4 2 3 3 2 2" xfId="554" xr:uid="{00000000-0005-0000-0000-00002A020000}"/>
    <cellStyle name="20% - Accent4 2 3 3 2 2 2" xfId="555" xr:uid="{00000000-0005-0000-0000-00002B020000}"/>
    <cellStyle name="20% - Accent4 2 3 3 2 3" xfId="556" xr:uid="{00000000-0005-0000-0000-00002C020000}"/>
    <cellStyle name="20% - Accent4 2 3 3 3" xfId="557" xr:uid="{00000000-0005-0000-0000-00002D020000}"/>
    <cellStyle name="20% - Accent4 2 3 3 3 2" xfId="558" xr:uid="{00000000-0005-0000-0000-00002E020000}"/>
    <cellStyle name="20% - Accent4 2 3 3 4" xfId="559" xr:uid="{00000000-0005-0000-0000-00002F020000}"/>
    <cellStyle name="20% - Accent4 2 3 4" xfId="560" xr:uid="{00000000-0005-0000-0000-000030020000}"/>
    <cellStyle name="20% - Accent4 2 3 4 2" xfId="561" xr:uid="{00000000-0005-0000-0000-000031020000}"/>
    <cellStyle name="20% - Accent4 2 3 5" xfId="562" xr:uid="{00000000-0005-0000-0000-000032020000}"/>
    <cellStyle name="20% - Accent4 2 4" xfId="563" xr:uid="{00000000-0005-0000-0000-000033020000}"/>
    <cellStyle name="20% - Accent4 2 4 2" xfId="564" xr:uid="{00000000-0005-0000-0000-000034020000}"/>
    <cellStyle name="20% - Accent4 2 4 2 2" xfId="565" xr:uid="{00000000-0005-0000-0000-000035020000}"/>
    <cellStyle name="20% - Accent4 2 4 2 2 2" xfId="566" xr:uid="{00000000-0005-0000-0000-000036020000}"/>
    <cellStyle name="20% - Accent4 2 4 2 3" xfId="567" xr:uid="{00000000-0005-0000-0000-000037020000}"/>
    <cellStyle name="20% - Accent4 2 4 3" xfId="568" xr:uid="{00000000-0005-0000-0000-000038020000}"/>
    <cellStyle name="20% - Accent4 2 4 3 2" xfId="569" xr:uid="{00000000-0005-0000-0000-000039020000}"/>
    <cellStyle name="20% - Accent4 2 4 4" xfId="570" xr:uid="{00000000-0005-0000-0000-00003A020000}"/>
    <cellStyle name="20% - Accent4 2 5" xfId="571" xr:uid="{00000000-0005-0000-0000-00003B020000}"/>
    <cellStyle name="20% - Accent4 2 5 2" xfId="572" xr:uid="{00000000-0005-0000-0000-00003C020000}"/>
    <cellStyle name="20% - Accent4 2 5 2 2" xfId="573" xr:uid="{00000000-0005-0000-0000-00003D020000}"/>
    <cellStyle name="20% - Accent4 2 5 2 2 2" xfId="574" xr:uid="{00000000-0005-0000-0000-00003E020000}"/>
    <cellStyle name="20% - Accent4 2 5 2 3" xfId="575" xr:uid="{00000000-0005-0000-0000-00003F020000}"/>
    <cellStyle name="20% - Accent4 2 5 3" xfId="576" xr:uid="{00000000-0005-0000-0000-000040020000}"/>
    <cellStyle name="20% - Accent4 2 5 3 2" xfId="577" xr:uid="{00000000-0005-0000-0000-000041020000}"/>
    <cellStyle name="20% - Accent4 2 5 3 2 2" xfId="578" xr:uid="{00000000-0005-0000-0000-000042020000}"/>
    <cellStyle name="20% - Accent4 2 5 3 2 2 2" xfId="579" xr:uid="{00000000-0005-0000-0000-000043020000}"/>
    <cellStyle name="20% - Accent4 2 5 3 2 3" xfId="580" xr:uid="{00000000-0005-0000-0000-000044020000}"/>
    <cellStyle name="20% - Accent4 2 5 3 3" xfId="581" xr:uid="{00000000-0005-0000-0000-000045020000}"/>
    <cellStyle name="20% - Accent4 2 5 3 3 2" xfId="582" xr:uid="{00000000-0005-0000-0000-000046020000}"/>
    <cellStyle name="20% - Accent4 2 5 3 4" xfId="583" xr:uid="{00000000-0005-0000-0000-000047020000}"/>
    <cellStyle name="20% - Accent4 2 5 4" xfId="584" xr:uid="{00000000-0005-0000-0000-000048020000}"/>
    <cellStyle name="20% - Accent4 2 5 4 2" xfId="585" xr:uid="{00000000-0005-0000-0000-000049020000}"/>
    <cellStyle name="20% - Accent4 2 5 5" xfId="586" xr:uid="{00000000-0005-0000-0000-00004A020000}"/>
    <cellStyle name="20% - Accent4 2 6" xfId="587" xr:uid="{00000000-0005-0000-0000-00004B020000}"/>
    <cellStyle name="20% - Accent4 2 6 2" xfId="588" xr:uid="{00000000-0005-0000-0000-00004C020000}"/>
    <cellStyle name="20% - Accent4 2 6 2 2" xfId="589" xr:uid="{00000000-0005-0000-0000-00004D020000}"/>
    <cellStyle name="20% - Accent4 2 6 3" xfId="590" xr:uid="{00000000-0005-0000-0000-00004E020000}"/>
    <cellStyle name="20% - Accent4 2 7" xfId="591" xr:uid="{00000000-0005-0000-0000-00004F020000}"/>
    <cellStyle name="20% - Accent4 2 7 2" xfId="592" xr:uid="{00000000-0005-0000-0000-000050020000}"/>
    <cellStyle name="20% - Accent4 2 7 2 2" xfId="593" xr:uid="{00000000-0005-0000-0000-000051020000}"/>
    <cellStyle name="20% - Accent4 2 7 3" xfId="594" xr:uid="{00000000-0005-0000-0000-000052020000}"/>
    <cellStyle name="20% - Accent4 2 8" xfId="595" xr:uid="{00000000-0005-0000-0000-000053020000}"/>
    <cellStyle name="20% - Accent4 2 8 2" xfId="596" xr:uid="{00000000-0005-0000-0000-000054020000}"/>
    <cellStyle name="20% - Accent4 2 8 2 2" xfId="597" xr:uid="{00000000-0005-0000-0000-000055020000}"/>
    <cellStyle name="20% - Accent4 2 8 2 2 2" xfId="598" xr:uid="{00000000-0005-0000-0000-000056020000}"/>
    <cellStyle name="20% - Accent4 2 8 2 3" xfId="599" xr:uid="{00000000-0005-0000-0000-000057020000}"/>
    <cellStyle name="20% - Accent4 2 8 3" xfId="600" xr:uid="{00000000-0005-0000-0000-000058020000}"/>
    <cellStyle name="20% - Accent4 2 8 3 2" xfId="601" xr:uid="{00000000-0005-0000-0000-000059020000}"/>
    <cellStyle name="20% - Accent4 2 8 4" xfId="602" xr:uid="{00000000-0005-0000-0000-00005A020000}"/>
    <cellStyle name="20% - Accent4 2 9" xfId="603" xr:uid="{00000000-0005-0000-0000-00005B020000}"/>
    <cellStyle name="20% - Accent4 2 9 2" xfId="604" xr:uid="{00000000-0005-0000-0000-00005C020000}"/>
    <cellStyle name="20% - Accent4 3" xfId="605" xr:uid="{00000000-0005-0000-0000-00005D020000}"/>
    <cellStyle name="20% - Accent4 3 2" xfId="606" xr:uid="{00000000-0005-0000-0000-00005E020000}"/>
    <cellStyle name="20% - Accent4 3 2 2" xfId="607" xr:uid="{00000000-0005-0000-0000-00005F020000}"/>
    <cellStyle name="20% - Accent4 3 2 2 2" xfId="608" xr:uid="{00000000-0005-0000-0000-000060020000}"/>
    <cellStyle name="20% - Accent4 3 2 3" xfId="609" xr:uid="{00000000-0005-0000-0000-000061020000}"/>
    <cellStyle name="20% - Accent4 3 3" xfId="610" xr:uid="{00000000-0005-0000-0000-000062020000}"/>
    <cellStyle name="20% - Accent4 3 3 2" xfId="611" xr:uid="{00000000-0005-0000-0000-000063020000}"/>
    <cellStyle name="20% - Accent4 3 4" xfId="612" xr:uid="{00000000-0005-0000-0000-000064020000}"/>
    <cellStyle name="20% - Accent4 3 4 2" xfId="613" xr:uid="{00000000-0005-0000-0000-000065020000}"/>
    <cellStyle name="20% - Accent4 3 4 2 2" xfId="614" xr:uid="{00000000-0005-0000-0000-000066020000}"/>
    <cellStyle name="20% - Accent4 3 4 3" xfId="615" xr:uid="{00000000-0005-0000-0000-000067020000}"/>
    <cellStyle name="20% - Accent4 3 5" xfId="616" xr:uid="{00000000-0005-0000-0000-000068020000}"/>
    <cellStyle name="20% - Accent4 4" xfId="617" xr:uid="{00000000-0005-0000-0000-000069020000}"/>
    <cellStyle name="20% - Accent4 4 2" xfId="618" xr:uid="{00000000-0005-0000-0000-00006A020000}"/>
    <cellStyle name="20% - Accent4 4 2 2" xfId="619" xr:uid="{00000000-0005-0000-0000-00006B020000}"/>
    <cellStyle name="20% - Accent4 4 3" xfId="620" xr:uid="{00000000-0005-0000-0000-00006C020000}"/>
    <cellStyle name="20% - Accent4 4 3 2" xfId="621" xr:uid="{00000000-0005-0000-0000-00006D020000}"/>
    <cellStyle name="20% - Accent4 4 3 2 2" xfId="622" xr:uid="{00000000-0005-0000-0000-00006E020000}"/>
    <cellStyle name="20% - Accent4 4 3 3" xfId="623" xr:uid="{00000000-0005-0000-0000-00006F020000}"/>
    <cellStyle name="20% - Accent4 4 4" xfId="624" xr:uid="{00000000-0005-0000-0000-000070020000}"/>
    <cellStyle name="20% - Accent4 5" xfId="625" xr:uid="{00000000-0005-0000-0000-000071020000}"/>
    <cellStyle name="20% - Accent4 5 2" xfId="626" xr:uid="{00000000-0005-0000-0000-000072020000}"/>
    <cellStyle name="20% - Accent4 5 2 2" xfId="627" xr:uid="{00000000-0005-0000-0000-000073020000}"/>
    <cellStyle name="20% - Accent4 5 2 2 2" xfId="628" xr:uid="{00000000-0005-0000-0000-000074020000}"/>
    <cellStyle name="20% - Accent4 5 2 3" xfId="629" xr:uid="{00000000-0005-0000-0000-000075020000}"/>
    <cellStyle name="20% - Accent4 5 3" xfId="630" xr:uid="{00000000-0005-0000-0000-000076020000}"/>
    <cellStyle name="20% - Accent4 5 3 2" xfId="631" xr:uid="{00000000-0005-0000-0000-000077020000}"/>
    <cellStyle name="20% - Accent4 5 3 2 2" xfId="632" xr:uid="{00000000-0005-0000-0000-000078020000}"/>
    <cellStyle name="20% - Accent4 5 3 2 2 2" xfId="633" xr:uid="{00000000-0005-0000-0000-000079020000}"/>
    <cellStyle name="20% - Accent4 5 3 2 3" xfId="634" xr:uid="{00000000-0005-0000-0000-00007A020000}"/>
    <cellStyle name="20% - Accent4 5 3 3" xfId="635" xr:uid="{00000000-0005-0000-0000-00007B020000}"/>
    <cellStyle name="20% - Accent4 5 3 3 2" xfId="636" xr:uid="{00000000-0005-0000-0000-00007C020000}"/>
    <cellStyle name="20% - Accent4 5 3 4" xfId="637" xr:uid="{00000000-0005-0000-0000-00007D020000}"/>
    <cellStyle name="20% - Accent4 5 4" xfId="638" xr:uid="{00000000-0005-0000-0000-00007E020000}"/>
    <cellStyle name="20% - Accent4 5 4 2" xfId="639" xr:uid="{00000000-0005-0000-0000-00007F020000}"/>
    <cellStyle name="20% - Accent4 5 5" xfId="640" xr:uid="{00000000-0005-0000-0000-000080020000}"/>
    <cellStyle name="20% - Accent4 6" xfId="641" xr:uid="{00000000-0005-0000-0000-000081020000}"/>
    <cellStyle name="20% - Accent4 6 2" xfId="642" xr:uid="{00000000-0005-0000-0000-000082020000}"/>
    <cellStyle name="20% - Accent4 6 2 2" xfId="643" xr:uid="{00000000-0005-0000-0000-000083020000}"/>
    <cellStyle name="20% - Accent4 6 2 2 2" xfId="644" xr:uid="{00000000-0005-0000-0000-000084020000}"/>
    <cellStyle name="20% - Accent4 6 2 3" xfId="645" xr:uid="{00000000-0005-0000-0000-000085020000}"/>
    <cellStyle name="20% - Accent4 6 3" xfId="646" xr:uid="{00000000-0005-0000-0000-000086020000}"/>
    <cellStyle name="20% - Accent4 6 3 2" xfId="647" xr:uid="{00000000-0005-0000-0000-000087020000}"/>
    <cellStyle name="20% - Accent4 6 4" xfId="648" xr:uid="{00000000-0005-0000-0000-000088020000}"/>
    <cellStyle name="20% - Accent4 7" xfId="649" xr:uid="{00000000-0005-0000-0000-000089020000}"/>
    <cellStyle name="20% - Accent4 8" xfId="650" xr:uid="{00000000-0005-0000-0000-00008A020000}"/>
    <cellStyle name="20% - Accent5 2" xfId="651" xr:uid="{00000000-0005-0000-0000-00008B020000}"/>
    <cellStyle name="20% - Accent5 2 10" xfId="652" xr:uid="{00000000-0005-0000-0000-00008C020000}"/>
    <cellStyle name="20% - Accent5 2 10 2" xfId="653" xr:uid="{00000000-0005-0000-0000-00008D020000}"/>
    <cellStyle name="20% - Accent5 2 11" xfId="654" xr:uid="{00000000-0005-0000-0000-00008E020000}"/>
    <cellStyle name="20% - Accent5 2 2" xfId="655" xr:uid="{00000000-0005-0000-0000-00008F020000}"/>
    <cellStyle name="20% - Accent5 2 2 2" xfId="656" xr:uid="{00000000-0005-0000-0000-000090020000}"/>
    <cellStyle name="20% - Accent5 2 2 2 2" xfId="657" xr:uid="{00000000-0005-0000-0000-000091020000}"/>
    <cellStyle name="20% - Accent5 2 2 2 2 2" xfId="658" xr:uid="{00000000-0005-0000-0000-000092020000}"/>
    <cellStyle name="20% - Accent5 2 2 2 3" xfId="659" xr:uid="{00000000-0005-0000-0000-000093020000}"/>
    <cellStyle name="20% - Accent5 2 2 2 3 2" xfId="660" xr:uid="{00000000-0005-0000-0000-000094020000}"/>
    <cellStyle name="20% - Accent5 2 2 2 3 2 2" xfId="661" xr:uid="{00000000-0005-0000-0000-000095020000}"/>
    <cellStyle name="20% - Accent5 2 2 2 3 3" xfId="662" xr:uid="{00000000-0005-0000-0000-000096020000}"/>
    <cellStyle name="20% - Accent5 2 2 2 4" xfId="663" xr:uid="{00000000-0005-0000-0000-000097020000}"/>
    <cellStyle name="20% - Accent5 2 2 3" xfId="664" xr:uid="{00000000-0005-0000-0000-000098020000}"/>
    <cellStyle name="20% - Accent5 2 2 3 2" xfId="665" xr:uid="{00000000-0005-0000-0000-000099020000}"/>
    <cellStyle name="20% - Accent5 2 2 3 2 2" xfId="666" xr:uid="{00000000-0005-0000-0000-00009A020000}"/>
    <cellStyle name="20% - Accent5 2 2 3 3" xfId="667" xr:uid="{00000000-0005-0000-0000-00009B020000}"/>
    <cellStyle name="20% - Accent5 2 2 4" xfId="668" xr:uid="{00000000-0005-0000-0000-00009C020000}"/>
    <cellStyle name="20% - Accent5 2 2 4 2" xfId="669" xr:uid="{00000000-0005-0000-0000-00009D020000}"/>
    <cellStyle name="20% - Accent5 2 2 4 2 2" xfId="670" xr:uid="{00000000-0005-0000-0000-00009E020000}"/>
    <cellStyle name="20% - Accent5 2 2 4 2 2 2" xfId="671" xr:uid="{00000000-0005-0000-0000-00009F020000}"/>
    <cellStyle name="20% - Accent5 2 2 4 2 3" xfId="672" xr:uid="{00000000-0005-0000-0000-0000A0020000}"/>
    <cellStyle name="20% - Accent5 2 2 4 3" xfId="673" xr:uid="{00000000-0005-0000-0000-0000A1020000}"/>
    <cellStyle name="20% - Accent5 2 2 4 3 2" xfId="674" xr:uid="{00000000-0005-0000-0000-0000A2020000}"/>
    <cellStyle name="20% - Accent5 2 2 4 4" xfId="675" xr:uid="{00000000-0005-0000-0000-0000A3020000}"/>
    <cellStyle name="20% - Accent5 2 2 5" xfId="676" xr:uid="{00000000-0005-0000-0000-0000A4020000}"/>
    <cellStyle name="20% - Accent5 2 2 5 2" xfId="677" xr:uid="{00000000-0005-0000-0000-0000A5020000}"/>
    <cellStyle name="20% - Accent5 2 2 6" xfId="678" xr:uid="{00000000-0005-0000-0000-0000A6020000}"/>
    <cellStyle name="20% - Accent5 2 3" xfId="679" xr:uid="{00000000-0005-0000-0000-0000A7020000}"/>
    <cellStyle name="20% - Accent5 2 3 2" xfId="680" xr:uid="{00000000-0005-0000-0000-0000A8020000}"/>
    <cellStyle name="20% - Accent5 2 3 2 2" xfId="681" xr:uid="{00000000-0005-0000-0000-0000A9020000}"/>
    <cellStyle name="20% - Accent5 2 3 2 2 2" xfId="682" xr:uid="{00000000-0005-0000-0000-0000AA020000}"/>
    <cellStyle name="20% - Accent5 2 3 2 3" xfId="683" xr:uid="{00000000-0005-0000-0000-0000AB020000}"/>
    <cellStyle name="20% - Accent5 2 3 3" xfId="684" xr:uid="{00000000-0005-0000-0000-0000AC020000}"/>
    <cellStyle name="20% - Accent5 2 3 3 2" xfId="685" xr:uid="{00000000-0005-0000-0000-0000AD020000}"/>
    <cellStyle name="20% - Accent5 2 3 3 2 2" xfId="686" xr:uid="{00000000-0005-0000-0000-0000AE020000}"/>
    <cellStyle name="20% - Accent5 2 3 3 2 2 2" xfId="687" xr:uid="{00000000-0005-0000-0000-0000AF020000}"/>
    <cellStyle name="20% - Accent5 2 3 3 2 3" xfId="688" xr:uid="{00000000-0005-0000-0000-0000B0020000}"/>
    <cellStyle name="20% - Accent5 2 3 3 3" xfId="689" xr:uid="{00000000-0005-0000-0000-0000B1020000}"/>
    <cellStyle name="20% - Accent5 2 3 3 3 2" xfId="690" xr:uid="{00000000-0005-0000-0000-0000B2020000}"/>
    <cellStyle name="20% - Accent5 2 3 3 4" xfId="691" xr:uid="{00000000-0005-0000-0000-0000B3020000}"/>
    <cellStyle name="20% - Accent5 2 3 4" xfId="692" xr:uid="{00000000-0005-0000-0000-0000B4020000}"/>
    <cellStyle name="20% - Accent5 2 3 4 2" xfId="693" xr:uid="{00000000-0005-0000-0000-0000B5020000}"/>
    <cellStyle name="20% - Accent5 2 3 5" xfId="694" xr:uid="{00000000-0005-0000-0000-0000B6020000}"/>
    <cellStyle name="20% - Accent5 2 4" xfId="695" xr:uid="{00000000-0005-0000-0000-0000B7020000}"/>
    <cellStyle name="20% - Accent5 2 4 2" xfId="696" xr:uid="{00000000-0005-0000-0000-0000B8020000}"/>
    <cellStyle name="20% - Accent5 2 4 2 2" xfId="697" xr:uid="{00000000-0005-0000-0000-0000B9020000}"/>
    <cellStyle name="20% - Accent5 2 4 2 2 2" xfId="698" xr:uid="{00000000-0005-0000-0000-0000BA020000}"/>
    <cellStyle name="20% - Accent5 2 4 2 3" xfId="699" xr:uid="{00000000-0005-0000-0000-0000BB020000}"/>
    <cellStyle name="20% - Accent5 2 4 3" xfId="700" xr:uid="{00000000-0005-0000-0000-0000BC020000}"/>
    <cellStyle name="20% - Accent5 2 4 3 2" xfId="701" xr:uid="{00000000-0005-0000-0000-0000BD020000}"/>
    <cellStyle name="20% - Accent5 2 4 4" xfId="702" xr:uid="{00000000-0005-0000-0000-0000BE020000}"/>
    <cellStyle name="20% - Accent5 2 5" xfId="703" xr:uid="{00000000-0005-0000-0000-0000BF020000}"/>
    <cellStyle name="20% - Accent5 2 5 2" xfId="704" xr:uid="{00000000-0005-0000-0000-0000C0020000}"/>
    <cellStyle name="20% - Accent5 2 5 2 2" xfId="705" xr:uid="{00000000-0005-0000-0000-0000C1020000}"/>
    <cellStyle name="20% - Accent5 2 5 2 2 2" xfId="706" xr:uid="{00000000-0005-0000-0000-0000C2020000}"/>
    <cellStyle name="20% - Accent5 2 5 2 3" xfId="707" xr:uid="{00000000-0005-0000-0000-0000C3020000}"/>
    <cellStyle name="20% - Accent5 2 5 3" xfId="708" xr:uid="{00000000-0005-0000-0000-0000C4020000}"/>
    <cellStyle name="20% - Accent5 2 5 3 2" xfId="709" xr:uid="{00000000-0005-0000-0000-0000C5020000}"/>
    <cellStyle name="20% - Accent5 2 5 3 2 2" xfId="710" xr:uid="{00000000-0005-0000-0000-0000C6020000}"/>
    <cellStyle name="20% - Accent5 2 5 3 2 2 2" xfId="711" xr:uid="{00000000-0005-0000-0000-0000C7020000}"/>
    <cellStyle name="20% - Accent5 2 5 3 2 3" xfId="712" xr:uid="{00000000-0005-0000-0000-0000C8020000}"/>
    <cellStyle name="20% - Accent5 2 5 3 3" xfId="713" xr:uid="{00000000-0005-0000-0000-0000C9020000}"/>
    <cellStyle name="20% - Accent5 2 5 3 3 2" xfId="714" xr:uid="{00000000-0005-0000-0000-0000CA020000}"/>
    <cellStyle name="20% - Accent5 2 5 3 4" xfId="715" xr:uid="{00000000-0005-0000-0000-0000CB020000}"/>
    <cellStyle name="20% - Accent5 2 5 4" xfId="716" xr:uid="{00000000-0005-0000-0000-0000CC020000}"/>
    <cellStyle name="20% - Accent5 2 5 4 2" xfId="717" xr:uid="{00000000-0005-0000-0000-0000CD020000}"/>
    <cellStyle name="20% - Accent5 2 5 5" xfId="718" xr:uid="{00000000-0005-0000-0000-0000CE020000}"/>
    <cellStyle name="20% - Accent5 2 6" xfId="719" xr:uid="{00000000-0005-0000-0000-0000CF020000}"/>
    <cellStyle name="20% - Accent5 2 6 2" xfId="720" xr:uid="{00000000-0005-0000-0000-0000D0020000}"/>
    <cellStyle name="20% - Accent5 2 6 2 2" xfId="721" xr:uid="{00000000-0005-0000-0000-0000D1020000}"/>
    <cellStyle name="20% - Accent5 2 6 3" xfId="722" xr:uid="{00000000-0005-0000-0000-0000D2020000}"/>
    <cellStyle name="20% - Accent5 2 7" xfId="723" xr:uid="{00000000-0005-0000-0000-0000D3020000}"/>
    <cellStyle name="20% - Accent5 2 7 2" xfId="724" xr:uid="{00000000-0005-0000-0000-0000D4020000}"/>
    <cellStyle name="20% - Accent5 2 7 2 2" xfId="725" xr:uid="{00000000-0005-0000-0000-0000D5020000}"/>
    <cellStyle name="20% - Accent5 2 7 3" xfId="726" xr:uid="{00000000-0005-0000-0000-0000D6020000}"/>
    <cellStyle name="20% - Accent5 2 8" xfId="727" xr:uid="{00000000-0005-0000-0000-0000D7020000}"/>
    <cellStyle name="20% - Accent5 2 8 2" xfId="728" xr:uid="{00000000-0005-0000-0000-0000D8020000}"/>
    <cellStyle name="20% - Accent5 2 8 2 2" xfId="729" xr:uid="{00000000-0005-0000-0000-0000D9020000}"/>
    <cellStyle name="20% - Accent5 2 8 2 2 2" xfId="730" xr:uid="{00000000-0005-0000-0000-0000DA020000}"/>
    <cellStyle name="20% - Accent5 2 8 2 3" xfId="731" xr:uid="{00000000-0005-0000-0000-0000DB020000}"/>
    <cellStyle name="20% - Accent5 2 8 3" xfId="732" xr:uid="{00000000-0005-0000-0000-0000DC020000}"/>
    <cellStyle name="20% - Accent5 2 8 3 2" xfId="733" xr:uid="{00000000-0005-0000-0000-0000DD020000}"/>
    <cellStyle name="20% - Accent5 2 8 4" xfId="734" xr:uid="{00000000-0005-0000-0000-0000DE020000}"/>
    <cellStyle name="20% - Accent5 2 9" xfId="735" xr:uid="{00000000-0005-0000-0000-0000DF020000}"/>
    <cellStyle name="20% - Accent5 2 9 2" xfId="736" xr:uid="{00000000-0005-0000-0000-0000E0020000}"/>
    <cellStyle name="20% - Accent5 3" xfId="737" xr:uid="{00000000-0005-0000-0000-0000E1020000}"/>
    <cellStyle name="20% - Accent5 3 2" xfId="738" xr:uid="{00000000-0005-0000-0000-0000E2020000}"/>
    <cellStyle name="20% - Accent5 3 2 2" xfId="739" xr:uid="{00000000-0005-0000-0000-0000E3020000}"/>
    <cellStyle name="20% - Accent5 3 2 2 2" xfId="740" xr:uid="{00000000-0005-0000-0000-0000E4020000}"/>
    <cellStyle name="20% - Accent5 3 2 3" xfId="741" xr:uid="{00000000-0005-0000-0000-0000E5020000}"/>
    <cellStyle name="20% - Accent5 3 3" xfId="742" xr:uid="{00000000-0005-0000-0000-0000E6020000}"/>
    <cellStyle name="20% - Accent5 3 3 2" xfId="743" xr:uid="{00000000-0005-0000-0000-0000E7020000}"/>
    <cellStyle name="20% - Accent5 3 4" xfId="744" xr:uid="{00000000-0005-0000-0000-0000E8020000}"/>
    <cellStyle name="20% - Accent5 3 4 2" xfId="745" xr:uid="{00000000-0005-0000-0000-0000E9020000}"/>
    <cellStyle name="20% - Accent5 3 4 2 2" xfId="746" xr:uid="{00000000-0005-0000-0000-0000EA020000}"/>
    <cellStyle name="20% - Accent5 3 4 3" xfId="747" xr:uid="{00000000-0005-0000-0000-0000EB020000}"/>
    <cellStyle name="20% - Accent5 3 5" xfId="748" xr:uid="{00000000-0005-0000-0000-0000EC020000}"/>
    <cellStyle name="20% - Accent5 4" xfId="749" xr:uid="{00000000-0005-0000-0000-0000ED020000}"/>
    <cellStyle name="20% - Accent5 4 2" xfId="750" xr:uid="{00000000-0005-0000-0000-0000EE020000}"/>
    <cellStyle name="20% - Accent5 4 2 2" xfId="751" xr:uid="{00000000-0005-0000-0000-0000EF020000}"/>
    <cellStyle name="20% - Accent5 4 3" xfId="752" xr:uid="{00000000-0005-0000-0000-0000F0020000}"/>
    <cellStyle name="20% - Accent5 4 3 2" xfId="753" xr:uid="{00000000-0005-0000-0000-0000F1020000}"/>
    <cellStyle name="20% - Accent5 4 3 2 2" xfId="754" xr:uid="{00000000-0005-0000-0000-0000F2020000}"/>
    <cellStyle name="20% - Accent5 4 3 3" xfId="755" xr:uid="{00000000-0005-0000-0000-0000F3020000}"/>
    <cellStyle name="20% - Accent5 4 4" xfId="756" xr:uid="{00000000-0005-0000-0000-0000F4020000}"/>
    <cellStyle name="20% - Accent5 5" xfId="757" xr:uid="{00000000-0005-0000-0000-0000F5020000}"/>
    <cellStyle name="20% - Accent5 5 2" xfId="758" xr:uid="{00000000-0005-0000-0000-0000F6020000}"/>
    <cellStyle name="20% - Accent5 5 2 2" xfId="759" xr:uid="{00000000-0005-0000-0000-0000F7020000}"/>
    <cellStyle name="20% - Accent5 5 2 2 2" xfId="760" xr:uid="{00000000-0005-0000-0000-0000F8020000}"/>
    <cellStyle name="20% - Accent5 5 2 3" xfId="761" xr:uid="{00000000-0005-0000-0000-0000F9020000}"/>
    <cellStyle name="20% - Accent5 5 3" xfId="762" xr:uid="{00000000-0005-0000-0000-0000FA020000}"/>
    <cellStyle name="20% - Accent5 5 3 2" xfId="763" xr:uid="{00000000-0005-0000-0000-0000FB020000}"/>
    <cellStyle name="20% - Accent5 5 3 2 2" xfId="764" xr:uid="{00000000-0005-0000-0000-0000FC020000}"/>
    <cellStyle name="20% - Accent5 5 3 2 2 2" xfId="765" xr:uid="{00000000-0005-0000-0000-0000FD020000}"/>
    <cellStyle name="20% - Accent5 5 3 2 3" xfId="766" xr:uid="{00000000-0005-0000-0000-0000FE020000}"/>
    <cellStyle name="20% - Accent5 5 3 3" xfId="767" xr:uid="{00000000-0005-0000-0000-0000FF020000}"/>
    <cellStyle name="20% - Accent5 5 3 3 2" xfId="768" xr:uid="{00000000-0005-0000-0000-000000030000}"/>
    <cellStyle name="20% - Accent5 5 3 4" xfId="769" xr:uid="{00000000-0005-0000-0000-000001030000}"/>
    <cellStyle name="20% - Accent5 5 4" xfId="770" xr:uid="{00000000-0005-0000-0000-000002030000}"/>
    <cellStyle name="20% - Accent5 5 4 2" xfId="771" xr:uid="{00000000-0005-0000-0000-000003030000}"/>
    <cellStyle name="20% - Accent5 5 5" xfId="772" xr:uid="{00000000-0005-0000-0000-000004030000}"/>
    <cellStyle name="20% - Accent5 6" xfId="773" xr:uid="{00000000-0005-0000-0000-000005030000}"/>
    <cellStyle name="20% - Accent5 6 2" xfId="774" xr:uid="{00000000-0005-0000-0000-000006030000}"/>
    <cellStyle name="20% - Accent5 6 2 2" xfId="775" xr:uid="{00000000-0005-0000-0000-000007030000}"/>
    <cellStyle name="20% - Accent5 6 2 2 2" xfId="776" xr:uid="{00000000-0005-0000-0000-000008030000}"/>
    <cellStyle name="20% - Accent5 6 2 3" xfId="777" xr:uid="{00000000-0005-0000-0000-000009030000}"/>
    <cellStyle name="20% - Accent5 6 3" xfId="778" xr:uid="{00000000-0005-0000-0000-00000A030000}"/>
    <cellStyle name="20% - Accent5 6 3 2" xfId="779" xr:uid="{00000000-0005-0000-0000-00000B030000}"/>
    <cellStyle name="20% - Accent5 6 4" xfId="780" xr:uid="{00000000-0005-0000-0000-00000C030000}"/>
    <cellStyle name="20% - Accent5 7" xfId="781" xr:uid="{00000000-0005-0000-0000-00000D030000}"/>
    <cellStyle name="20% - Accent5 8" xfId="782" xr:uid="{00000000-0005-0000-0000-00000E030000}"/>
    <cellStyle name="20% - Accent6 2" xfId="783" xr:uid="{00000000-0005-0000-0000-00000F030000}"/>
    <cellStyle name="20% - Accent6 2 10" xfId="784" xr:uid="{00000000-0005-0000-0000-000010030000}"/>
    <cellStyle name="20% - Accent6 2 10 2" xfId="785" xr:uid="{00000000-0005-0000-0000-000011030000}"/>
    <cellStyle name="20% - Accent6 2 11" xfId="786" xr:uid="{00000000-0005-0000-0000-000012030000}"/>
    <cellStyle name="20% - Accent6 2 2" xfId="787" xr:uid="{00000000-0005-0000-0000-000013030000}"/>
    <cellStyle name="20% - Accent6 2 2 2" xfId="788" xr:uid="{00000000-0005-0000-0000-000014030000}"/>
    <cellStyle name="20% - Accent6 2 2 2 2" xfId="789" xr:uid="{00000000-0005-0000-0000-000015030000}"/>
    <cellStyle name="20% - Accent6 2 2 2 2 2" xfId="790" xr:uid="{00000000-0005-0000-0000-000016030000}"/>
    <cellStyle name="20% - Accent6 2 2 2 3" xfId="791" xr:uid="{00000000-0005-0000-0000-000017030000}"/>
    <cellStyle name="20% - Accent6 2 2 2 3 2" xfId="792" xr:uid="{00000000-0005-0000-0000-000018030000}"/>
    <cellStyle name="20% - Accent6 2 2 2 3 2 2" xfId="793" xr:uid="{00000000-0005-0000-0000-000019030000}"/>
    <cellStyle name="20% - Accent6 2 2 2 3 3" xfId="794" xr:uid="{00000000-0005-0000-0000-00001A030000}"/>
    <cellStyle name="20% - Accent6 2 2 2 4" xfId="795" xr:uid="{00000000-0005-0000-0000-00001B030000}"/>
    <cellStyle name="20% - Accent6 2 2 3" xfId="796" xr:uid="{00000000-0005-0000-0000-00001C030000}"/>
    <cellStyle name="20% - Accent6 2 2 3 2" xfId="797" xr:uid="{00000000-0005-0000-0000-00001D030000}"/>
    <cellStyle name="20% - Accent6 2 2 3 2 2" xfId="798" xr:uid="{00000000-0005-0000-0000-00001E030000}"/>
    <cellStyle name="20% - Accent6 2 2 3 3" xfId="799" xr:uid="{00000000-0005-0000-0000-00001F030000}"/>
    <cellStyle name="20% - Accent6 2 2 4" xfId="800" xr:uid="{00000000-0005-0000-0000-000020030000}"/>
    <cellStyle name="20% - Accent6 2 2 4 2" xfId="801" xr:uid="{00000000-0005-0000-0000-000021030000}"/>
    <cellStyle name="20% - Accent6 2 2 4 2 2" xfId="802" xr:uid="{00000000-0005-0000-0000-000022030000}"/>
    <cellStyle name="20% - Accent6 2 2 4 2 2 2" xfId="803" xr:uid="{00000000-0005-0000-0000-000023030000}"/>
    <cellStyle name="20% - Accent6 2 2 4 2 3" xfId="804" xr:uid="{00000000-0005-0000-0000-000024030000}"/>
    <cellStyle name="20% - Accent6 2 2 4 3" xfId="805" xr:uid="{00000000-0005-0000-0000-000025030000}"/>
    <cellStyle name="20% - Accent6 2 2 4 3 2" xfId="806" xr:uid="{00000000-0005-0000-0000-000026030000}"/>
    <cellStyle name="20% - Accent6 2 2 4 4" xfId="807" xr:uid="{00000000-0005-0000-0000-000027030000}"/>
    <cellStyle name="20% - Accent6 2 2 5" xfId="808" xr:uid="{00000000-0005-0000-0000-000028030000}"/>
    <cellStyle name="20% - Accent6 2 2 5 2" xfId="809" xr:uid="{00000000-0005-0000-0000-000029030000}"/>
    <cellStyle name="20% - Accent6 2 2 6" xfId="810" xr:uid="{00000000-0005-0000-0000-00002A030000}"/>
    <cellStyle name="20% - Accent6 2 3" xfId="811" xr:uid="{00000000-0005-0000-0000-00002B030000}"/>
    <cellStyle name="20% - Accent6 2 3 2" xfId="812" xr:uid="{00000000-0005-0000-0000-00002C030000}"/>
    <cellStyle name="20% - Accent6 2 3 2 2" xfId="813" xr:uid="{00000000-0005-0000-0000-00002D030000}"/>
    <cellStyle name="20% - Accent6 2 3 2 2 2" xfId="814" xr:uid="{00000000-0005-0000-0000-00002E030000}"/>
    <cellStyle name="20% - Accent6 2 3 2 3" xfId="815" xr:uid="{00000000-0005-0000-0000-00002F030000}"/>
    <cellStyle name="20% - Accent6 2 3 3" xfId="816" xr:uid="{00000000-0005-0000-0000-000030030000}"/>
    <cellStyle name="20% - Accent6 2 3 3 2" xfId="817" xr:uid="{00000000-0005-0000-0000-000031030000}"/>
    <cellStyle name="20% - Accent6 2 3 3 2 2" xfId="818" xr:uid="{00000000-0005-0000-0000-000032030000}"/>
    <cellStyle name="20% - Accent6 2 3 3 2 2 2" xfId="819" xr:uid="{00000000-0005-0000-0000-000033030000}"/>
    <cellStyle name="20% - Accent6 2 3 3 2 3" xfId="820" xr:uid="{00000000-0005-0000-0000-000034030000}"/>
    <cellStyle name="20% - Accent6 2 3 3 3" xfId="821" xr:uid="{00000000-0005-0000-0000-000035030000}"/>
    <cellStyle name="20% - Accent6 2 3 3 3 2" xfId="822" xr:uid="{00000000-0005-0000-0000-000036030000}"/>
    <cellStyle name="20% - Accent6 2 3 3 4" xfId="823" xr:uid="{00000000-0005-0000-0000-000037030000}"/>
    <cellStyle name="20% - Accent6 2 3 4" xfId="824" xr:uid="{00000000-0005-0000-0000-000038030000}"/>
    <cellStyle name="20% - Accent6 2 3 4 2" xfId="825" xr:uid="{00000000-0005-0000-0000-000039030000}"/>
    <cellStyle name="20% - Accent6 2 3 5" xfId="826" xr:uid="{00000000-0005-0000-0000-00003A030000}"/>
    <cellStyle name="20% - Accent6 2 4" xfId="827" xr:uid="{00000000-0005-0000-0000-00003B030000}"/>
    <cellStyle name="20% - Accent6 2 4 2" xfId="828" xr:uid="{00000000-0005-0000-0000-00003C030000}"/>
    <cellStyle name="20% - Accent6 2 4 2 2" xfId="829" xr:uid="{00000000-0005-0000-0000-00003D030000}"/>
    <cellStyle name="20% - Accent6 2 4 2 2 2" xfId="830" xr:uid="{00000000-0005-0000-0000-00003E030000}"/>
    <cellStyle name="20% - Accent6 2 4 2 3" xfId="831" xr:uid="{00000000-0005-0000-0000-00003F030000}"/>
    <cellStyle name="20% - Accent6 2 4 3" xfId="832" xr:uid="{00000000-0005-0000-0000-000040030000}"/>
    <cellStyle name="20% - Accent6 2 4 3 2" xfId="833" xr:uid="{00000000-0005-0000-0000-000041030000}"/>
    <cellStyle name="20% - Accent6 2 4 4" xfId="834" xr:uid="{00000000-0005-0000-0000-000042030000}"/>
    <cellStyle name="20% - Accent6 2 5" xfId="835" xr:uid="{00000000-0005-0000-0000-000043030000}"/>
    <cellStyle name="20% - Accent6 2 5 2" xfId="836" xr:uid="{00000000-0005-0000-0000-000044030000}"/>
    <cellStyle name="20% - Accent6 2 5 2 2" xfId="837" xr:uid="{00000000-0005-0000-0000-000045030000}"/>
    <cellStyle name="20% - Accent6 2 5 2 2 2" xfId="838" xr:uid="{00000000-0005-0000-0000-000046030000}"/>
    <cellStyle name="20% - Accent6 2 5 2 3" xfId="839" xr:uid="{00000000-0005-0000-0000-000047030000}"/>
    <cellStyle name="20% - Accent6 2 5 3" xfId="840" xr:uid="{00000000-0005-0000-0000-000048030000}"/>
    <cellStyle name="20% - Accent6 2 5 3 2" xfId="841" xr:uid="{00000000-0005-0000-0000-000049030000}"/>
    <cellStyle name="20% - Accent6 2 5 3 2 2" xfId="842" xr:uid="{00000000-0005-0000-0000-00004A030000}"/>
    <cellStyle name="20% - Accent6 2 5 3 2 2 2" xfId="843" xr:uid="{00000000-0005-0000-0000-00004B030000}"/>
    <cellStyle name="20% - Accent6 2 5 3 2 3" xfId="844" xr:uid="{00000000-0005-0000-0000-00004C030000}"/>
    <cellStyle name="20% - Accent6 2 5 3 3" xfId="845" xr:uid="{00000000-0005-0000-0000-00004D030000}"/>
    <cellStyle name="20% - Accent6 2 5 3 3 2" xfId="846" xr:uid="{00000000-0005-0000-0000-00004E030000}"/>
    <cellStyle name="20% - Accent6 2 5 3 4" xfId="847" xr:uid="{00000000-0005-0000-0000-00004F030000}"/>
    <cellStyle name="20% - Accent6 2 5 4" xfId="848" xr:uid="{00000000-0005-0000-0000-000050030000}"/>
    <cellStyle name="20% - Accent6 2 5 4 2" xfId="849" xr:uid="{00000000-0005-0000-0000-000051030000}"/>
    <cellStyle name="20% - Accent6 2 5 5" xfId="850" xr:uid="{00000000-0005-0000-0000-000052030000}"/>
    <cellStyle name="20% - Accent6 2 6" xfId="851" xr:uid="{00000000-0005-0000-0000-000053030000}"/>
    <cellStyle name="20% - Accent6 2 6 2" xfId="852" xr:uid="{00000000-0005-0000-0000-000054030000}"/>
    <cellStyle name="20% - Accent6 2 6 2 2" xfId="853" xr:uid="{00000000-0005-0000-0000-000055030000}"/>
    <cellStyle name="20% - Accent6 2 6 3" xfId="854" xr:uid="{00000000-0005-0000-0000-000056030000}"/>
    <cellStyle name="20% - Accent6 2 7" xfId="855" xr:uid="{00000000-0005-0000-0000-000057030000}"/>
    <cellStyle name="20% - Accent6 2 7 2" xfId="856" xr:uid="{00000000-0005-0000-0000-000058030000}"/>
    <cellStyle name="20% - Accent6 2 7 2 2" xfId="857" xr:uid="{00000000-0005-0000-0000-000059030000}"/>
    <cellStyle name="20% - Accent6 2 7 3" xfId="858" xr:uid="{00000000-0005-0000-0000-00005A030000}"/>
    <cellStyle name="20% - Accent6 2 8" xfId="859" xr:uid="{00000000-0005-0000-0000-00005B030000}"/>
    <cellStyle name="20% - Accent6 2 8 2" xfId="860" xr:uid="{00000000-0005-0000-0000-00005C030000}"/>
    <cellStyle name="20% - Accent6 2 8 2 2" xfId="861" xr:uid="{00000000-0005-0000-0000-00005D030000}"/>
    <cellStyle name="20% - Accent6 2 8 2 2 2" xfId="862" xr:uid="{00000000-0005-0000-0000-00005E030000}"/>
    <cellStyle name="20% - Accent6 2 8 2 3" xfId="863" xr:uid="{00000000-0005-0000-0000-00005F030000}"/>
    <cellStyle name="20% - Accent6 2 8 3" xfId="864" xr:uid="{00000000-0005-0000-0000-000060030000}"/>
    <cellStyle name="20% - Accent6 2 8 3 2" xfId="865" xr:uid="{00000000-0005-0000-0000-000061030000}"/>
    <cellStyle name="20% - Accent6 2 8 4" xfId="866" xr:uid="{00000000-0005-0000-0000-000062030000}"/>
    <cellStyle name="20% - Accent6 2 9" xfId="867" xr:uid="{00000000-0005-0000-0000-000063030000}"/>
    <cellStyle name="20% - Accent6 2 9 2" xfId="868" xr:uid="{00000000-0005-0000-0000-000064030000}"/>
    <cellStyle name="20% - Accent6 3" xfId="869" xr:uid="{00000000-0005-0000-0000-000065030000}"/>
    <cellStyle name="20% - Accent6 3 2" xfId="870" xr:uid="{00000000-0005-0000-0000-000066030000}"/>
    <cellStyle name="20% - Accent6 3 2 2" xfId="871" xr:uid="{00000000-0005-0000-0000-000067030000}"/>
    <cellStyle name="20% - Accent6 3 2 2 2" xfId="872" xr:uid="{00000000-0005-0000-0000-000068030000}"/>
    <cellStyle name="20% - Accent6 3 2 3" xfId="873" xr:uid="{00000000-0005-0000-0000-000069030000}"/>
    <cellStyle name="20% - Accent6 3 3" xfId="874" xr:uid="{00000000-0005-0000-0000-00006A030000}"/>
    <cellStyle name="20% - Accent6 3 3 2" xfId="875" xr:uid="{00000000-0005-0000-0000-00006B030000}"/>
    <cellStyle name="20% - Accent6 3 4" xfId="876" xr:uid="{00000000-0005-0000-0000-00006C030000}"/>
    <cellStyle name="20% - Accent6 3 4 2" xfId="877" xr:uid="{00000000-0005-0000-0000-00006D030000}"/>
    <cellStyle name="20% - Accent6 3 4 2 2" xfId="878" xr:uid="{00000000-0005-0000-0000-00006E030000}"/>
    <cellStyle name="20% - Accent6 3 4 3" xfId="879" xr:uid="{00000000-0005-0000-0000-00006F030000}"/>
    <cellStyle name="20% - Accent6 3 5" xfId="880" xr:uid="{00000000-0005-0000-0000-000070030000}"/>
    <cellStyle name="20% - Accent6 4" xfId="881" xr:uid="{00000000-0005-0000-0000-000071030000}"/>
    <cellStyle name="20% - Accent6 4 2" xfId="882" xr:uid="{00000000-0005-0000-0000-000072030000}"/>
    <cellStyle name="20% - Accent6 4 2 2" xfId="883" xr:uid="{00000000-0005-0000-0000-000073030000}"/>
    <cellStyle name="20% - Accent6 4 3" xfId="884" xr:uid="{00000000-0005-0000-0000-000074030000}"/>
    <cellStyle name="20% - Accent6 4 3 2" xfId="885" xr:uid="{00000000-0005-0000-0000-000075030000}"/>
    <cellStyle name="20% - Accent6 4 3 2 2" xfId="886" xr:uid="{00000000-0005-0000-0000-000076030000}"/>
    <cellStyle name="20% - Accent6 4 3 3" xfId="887" xr:uid="{00000000-0005-0000-0000-000077030000}"/>
    <cellStyle name="20% - Accent6 4 4" xfId="888" xr:uid="{00000000-0005-0000-0000-000078030000}"/>
    <cellStyle name="20% - Accent6 5" xfId="889" xr:uid="{00000000-0005-0000-0000-000079030000}"/>
    <cellStyle name="20% - Accent6 5 2" xfId="890" xr:uid="{00000000-0005-0000-0000-00007A030000}"/>
    <cellStyle name="20% - Accent6 5 2 2" xfId="891" xr:uid="{00000000-0005-0000-0000-00007B030000}"/>
    <cellStyle name="20% - Accent6 5 2 2 2" xfId="892" xr:uid="{00000000-0005-0000-0000-00007C030000}"/>
    <cellStyle name="20% - Accent6 5 2 3" xfId="893" xr:uid="{00000000-0005-0000-0000-00007D030000}"/>
    <cellStyle name="20% - Accent6 5 3" xfId="894" xr:uid="{00000000-0005-0000-0000-00007E030000}"/>
    <cellStyle name="20% - Accent6 5 3 2" xfId="895" xr:uid="{00000000-0005-0000-0000-00007F030000}"/>
    <cellStyle name="20% - Accent6 5 3 2 2" xfId="896" xr:uid="{00000000-0005-0000-0000-000080030000}"/>
    <cellStyle name="20% - Accent6 5 3 2 2 2" xfId="897" xr:uid="{00000000-0005-0000-0000-000081030000}"/>
    <cellStyle name="20% - Accent6 5 3 2 3" xfId="898" xr:uid="{00000000-0005-0000-0000-000082030000}"/>
    <cellStyle name="20% - Accent6 5 3 3" xfId="899" xr:uid="{00000000-0005-0000-0000-000083030000}"/>
    <cellStyle name="20% - Accent6 5 3 3 2" xfId="900" xr:uid="{00000000-0005-0000-0000-000084030000}"/>
    <cellStyle name="20% - Accent6 5 3 4" xfId="901" xr:uid="{00000000-0005-0000-0000-000085030000}"/>
    <cellStyle name="20% - Accent6 5 4" xfId="902" xr:uid="{00000000-0005-0000-0000-000086030000}"/>
    <cellStyle name="20% - Accent6 5 4 2" xfId="903" xr:uid="{00000000-0005-0000-0000-000087030000}"/>
    <cellStyle name="20% - Accent6 5 5" xfId="904" xr:uid="{00000000-0005-0000-0000-000088030000}"/>
    <cellStyle name="20% - Accent6 6" xfId="905" xr:uid="{00000000-0005-0000-0000-000089030000}"/>
    <cellStyle name="20% - Accent6 6 2" xfId="906" xr:uid="{00000000-0005-0000-0000-00008A030000}"/>
    <cellStyle name="20% - Accent6 6 2 2" xfId="907" xr:uid="{00000000-0005-0000-0000-00008B030000}"/>
    <cellStyle name="20% - Accent6 6 2 2 2" xfId="908" xr:uid="{00000000-0005-0000-0000-00008C030000}"/>
    <cellStyle name="20% - Accent6 6 2 3" xfId="909" xr:uid="{00000000-0005-0000-0000-00008D030000}"/>
    <cellStyle name="20% - Accent6 6 3" xfId="910" xr:uid="{00000000-0005-0000-0000-00008E030000}"/>
    <cellStyle name="20% - Accent6 6 3 2" xfId="911" xr:uid="{00000000-0005-0000-0000-00008F030000}"/>
    <cellStyle name="20% - Accent6 6 4" xfId="912" xr:uid="{00000000-0005-0000-0000-000090030000}"/>
    <cellStyle name="20% - Accent6 7" xfId="913" xr:uid="{00000000-0005-0000-0000-000091030000}"/>
    <cellStyle name="20% - Accent6 8" xfId="914" xr:uid="{00000000-0005-0000-0000-000092030000}"/>
    <cellStyle name="40% - Accent1 2" xfId="915" xr:uid="{00000000-0005-0000-0000-000093030000}"/>
    <cellStyle name="40% - Accent1 2 10" xfId="916" xr:uid="{00000000-0005-0000-0000-000094030000}"/>
    <cellStyle name="40% - Accent1 2 10 2" xfId="917" xr:uid="{00000000-0005-0000-0000-000095030000}"/>
    <cellStyle name="40% - Accent1 2 11" xfId="918" xr:uid="{00000000-0005-0000-0000-000096030000}"/>
    <cellStyle name="40% - Accent1 2 2" xfId="919" xr:uid="{00000000-0005-0000-0000-000097030000}"/>
    <cellStyle name="40% - Accent1 2 2 2" xfId="920" xr:uid="{00000000-0005-0000-0000-000098030000}"/>
    <cellStyle name="40% - Accent1 2 2 2 2" xfId="921" xr:uid="{00000000-0005-0000-0000-000099030000}"/>
    <cellStyle name="40% - Accent1 2 2 2 2 2" xfId="922" xr:uid="{00000000-0005-0000-0000-00009A030000}"/>
    <cellStyle name="40% - Accent1 2 2 2 3" xfId="923" xr:uid="{00000000-0005-0000-0000-00009B030000}"/>
    <cellStyle name="40% - Accent1 2 2 2 3 2" xfId="924" xr:uid="{00000000-0005-0000-0000-00009C030000}"/>
    <cellStyle name="40% - Accent1 2 2 2 3 2 2" xfId="925" xr:uid="{00000000-0005-0000-0000-00009D030000}"/>
    <cellStyle name="40% - Accent1 2 2 2 3 3" xfId="926" xr:uid="{00000000-0005-0000-0000-00009E030000}"/>
    <cellStyle name="40% - Accent1 2 2 2 4" xfId="927" xr:uid="{00000000-0005-0000-0000-00009F030000}"/>
    <cellStyle name="40% - Accent1 2 2 3" xfId="928" xr:uid="{00000000-0005-0000-0000-0000A0030000}"/>
    <cellStyle name="40% - Accent1 2 2 3 2" xfId="929" xr:uid="{00000000-0005-0000-0000-0000A1030000}"/>
    <cellStyle name="40% - Accent1 2 2 3 2 2" xfId="930" xr:uid="{00000000-0005-0000-0000-0000A2030000}"/>
    <cellStyle name="40% - Accent1 2 2 3 3" xfId="931" xr:uid="{00000000-0005-0000-0000-0000A3030000}"/>
    <cellStyle name="40% - Accent1 2 2 4" xfId="932" xr:uid="{00000000-0005-0000-0000-0000A4030000}"/>
    <cellStyle name="40% - Accent1 2 2 4 2" xfId="933" xr:uid="{00000000-0005-0000-0000-0000A5030000}"/>
    <cellStyle name="40% - Accent1 2 2 4 2 2" xfId="934" xr:uid="{00000000-0005-0000-0000-0000A6030000}"/>
    <cellStyle name="40% - Accent1 2 2 4 2 2 2" xfId="935" xr:uid="{00000000-0005-0000-0000-0000A7030000}"/>
    <cellStyle name="40% - Accent1 2 2 4 2 3" xfId="936" xr:uid="{00000000-0005-0000-0000-0000A8030000}"/>
    <cellStyle name="40% - Accent1 2 2 4 3" xfId="937" xr:uid="{00000000-0005-0000-0000-0000A9030000}"/>
    <cellStyle name="40% - Accent1 2 2 4 3 2" xfId="938" xr:uid="{00000000-0005-0000-0000-0000AA030000}"/>
    <cellStyle name="40% - Accent1 2 2 4 4" xfId="939" xr:uid="{00000000-0005-0000-0000-0000AB030000}"/>
    <cellStyle name="40% - Accent1 2 2 5" xfId="940" xr:uid="{00000000-0005-0000-0000-0000AC030000}"/>
    <cellStyle name="40% - Accent1 2 2 5 2" xfId="941" xr:uid="{00000000-0005-0000-0000-0000AD030000}"/>
    <cellStyle name="40% - Accent1 2 2 6" xfId="942" xr:uid="{00000000-0005-0000-0000-0000AE030000}"/>
    <cellStyle name="40% - Accent1 2 3" xfId="943" xr:uid="{00000000-0005-0000-0000-0000AF030000}"/>
    <cellStyle name="40% - Accent1 2 3 2" xfId="944" xr:uid="{00000000-0005-0000-0000-0000B0030000}"/>
    <cellStyle name="40% - Accent1 2 3 2 2" xfId="945" xr:uid="{00000000-0005-0000-0000-0000B1030000}"/>
    <cellStyle name="40% - Accent1 2 3 2 2 2" xfId="946" xr:uid="{00000000-0005-0000-0000-0000B2030000}"/>
    <cellStyle name="40% - Accent1 2 3 2 3" xfId="947" xr:uid="{00000000-0005-0000-0000-0000B3030000}"/>
    <cellStyle name="40% - Accent1 2 3 3" xfId="948" xr:uid="{00000000-0005-0000-0000-0000B4030000}"/>
    <cellStyle name="40% - Accent1 2 3 3 2" xfId="949" xr:uid="{00000000-0005-0000-0000-0000B5030000}"/>
    <cellStyle name="40% - Accent1 2 3 3 2 2" xfId="950" xr:uid="{00000000-0005-0000-0000-0000B6030000}"/>
    <cellStyle name="40% - Accent1 2 3 3 2 2 2" xfId="951" xr:uid="{00000000-0005-0000-0000-0000B7030000}"/>
    <cellStyle name="40% - Accent1 2 3 3 2 3" xfId="952" xr:uid="{00000000-0005-0000-0000-0000B8030000}"/>
    <cellStyle name="40% - Accent1 2 3 3 3" xfId="953" xr:uid="{00000000-0005-0000-0000-0000B9030000}"/>
    <cellStyle name="40% - Accent1 2 3 3 3 2" xfId="954" xr:uid="{00000000-0005-0000-0000-0000BA030000}"/>
    <cellStyle name="40% - Accent1 2 3 3 4" xfId="955" xr:uid="{00000000-0005-0000-0000-0000BB030000}"/>
    <cellStyle name="40% - Accent1 2 3 4" xfId="956" xr:uid="{00000000-0005-0000-0000-0000BC030000}"/>
    <cellStyle name="40% - Accent1 2 3 4 2" xfId="957" xr:uid="{00000000-0005-0000-0000-0000BD030000}"/>
    <cellStyle name="40% - Accent1 2 3 5" xfId="958" xr:uid="{00000000-0005-0000-0000-0000BE030000}"/>
    <cellStyle name="40% - Accent1 2 4" xfId="959" xr:uid="{00000000-0005-0000-0000-0000BF030000}"/>
    <cellStyle name="40% - Accent1 2 4 2" xfId="960" xr:uid="{00000000-0005-0000-0000-0000C0030000}"/>
    <cellStyle name="40% - Accent1 2 4 2 2" xfId="961" xr:uid="{00000000-0005-0000-0000-0000C1030000}"/>
    <cellStyle name="40% - Accent1 2 4 2 2 2" xfId="962" xr:uid="{00000000-0005-0000-0000-0000C2030000}"/>
    <cellStyle name="40% - Accent1 2 4 2 3" xfId="963" xr:uid="{00000000-0005-0000-0000-0000C3030000}"/>
    <cellStyle name="40% - Accent1 2 4 3" xfId="964" xr:uid="{00000000-0005-0000-0000-0000C4030000}"/>
    <cellStyle name="40% - Accent1 2 4 3 2" xfId="965" xr:uid="{00000000-0005-0000-0000-0000C5030000}"/>
    <cellStyle name="40% - Accent1 2 4 4" xfId="966" xr:uid="{00000000-0005-0000-0000-0000C6030000}"/>
    <cellStyle name="40% - Accent1 2 5" xfId="967" xr:uid="{00000000-0005-0000-0000-0000C7030000}"/>
    <cellStyle name="40% - Accent1 2 5 2" xfId="968" xr:uid="{00000000-0005-0000-0000-0000C8030000}"/>
    <cellStyle name="40% - Accent1 2 5 2 2" xfId="969" xr:uid="{00000000-0005-0000-0000-0000C9030000}"/>
    <cellStyle name="40% - Accent1 2 5 2 2 2" xfId="970" xr:uid="{00000000-0005-0000-0000-0000CA030000}"/>
    <cellStyle name="40% - Accent1 2 5 2 3" xfId="971" xr:uid="{00000000-0005-0000-0000-0000CB030000}"/>
    <cellStyle name="40% - Accent1 2 5 3" xfId="972" xr:uid="{00000000-0005-0000-0000-0000CC030000}"/>
    <cellStyle name="40% - Accent1 2 5 3 2" xfId="973" xr:uid="{00000000-0005-0000-0000-0000CD030000}"/>
    <cellStyle name="40% - Accent1 2 5 3 2 2" xfId="974" xr:uid="{00000000-0005-0000-0000-0000CE030000}"/>
    <cellStyle name="40% - Accent1 2 5 3 2 2 2" xfId="975" xr:uid="{00000000-0005-0000-0000-0000CF030000}"/>
    <cellStyle name="40% - Accent1 2 5 3 2 3" xfId="976" xr:uid="{00000000-0005-0000-0000-0000D0030000}"/>
    <cellStyle name="40% - Accent1 2 5 3 3" xfId="977" xr:uid="{00000000-0005-0000-0000-0000D1030000}"/>
    <cellStyle name="40% - Accent1 2 5 3 3 2" xfId="978" xr:uid="{00000000-0005-0000-0000-0000D2030000}"/>
    <cellStyle name="40% - Accent1 2 5 3 4" xfId="979" xr:uid="{00000000-0005-0000-0000-0000D3030000}"/>
    <cellStyle name="40% - Accent1 2 5 4" xfId="980" xr:uid="{00000000-0005-0000-0000-0000D4030000}"/>
    <cellStyle name="40% - Accent1 2 5 4 2" xfId="981" xr:uid="{00000000-0005-0000-0000-0000D5030000}"/>
    <cellStyle name="40% - Accent1 2 5 5" xfId="982" xr:uid="{00000000-0005-0000-0000-0000D6030000}"/>
    <cellStyle name="40% - Accent1 2 6" xfId="983" xr:uid="{00000000-0005-0000-0000-0000D7030000}"/>
    <cellStyle name="40% - Accent1 2 6 2" xfId="984" xr:uid="{00000000-0005-0000-0000-0000D8030000}"/>
    <cellStyle name="40% - Accent1 2 6 2 2" xfId="985" xr:uid="{00000000-0005-0000-0000-0000D9030000}"/>
    <cellStyle name="40% - Accent1 2 6 3" xfId="986" xr:uid="{00000000-0005-0000-0000-0000DA030000}"/>
    <cellStyle name="40% - Accent1 2 7" xfId="987" xr:uid="{00000000-0005-0000-0000-0000DB030000}"/>
    <cellStyle name="40% - Accent1 2 7 2" xfId="988" xr:uid="{00000000-0005-0000-0000-0000DC030000}"/>
    <cellStyle name="40% - Accent1 2 7 2 2" xfId="989" xr:uid="{00000000-0005-0000-0000-0000DD030000}"/>
    <cellStyle name="40% - Accent1 2 7 3" xfId="990" xr:uid="{00000000-0005-0000-0000-0000DE030000}"/>
    <cellStyle name="40% - Accent1 2 8" xfId="991" xr:uid="{00000000-0005-0000-0000-0000DF030000}"/>
    <cellStyle name="40% - Accent1 2 8 2" xfId="992" xr:uid="{00000000-0005-0000-0000-0000E0030000}"/>
    <cellStyle name="40% - Accent1 2 8 2 2" xfId="993" xr:uid="{00000000-0005-0000-0000-0000E1030000}"/>
    <cellStyle name="40% - Accent1 2 8 2 2 2" xfId="994" xr:uid="{00000000-0005-0000-0000-0000E2030000}"/>
    <cellStyle name="40% - Accent1 2 8 2 3" xfId="995" xr:uid="{00000000-0005-0000-0000-0000E3030000}"/>
    <cellStyle name="40% - Accent1 2 8 3" xfId="996" xr:uid="{00000000-0005-0000-0000-0000E4030000}"/>
    <cellStyle name="40% - Accent1 2 8 3 2" xfId="997" xr:uid="{00000000-0005-0000-0000-0000E5030000}"/>
    <cellStyle name="40% - Accent1 2 8 4" xfId="998" xr:uid="{00000000-0005-0000-0000-0000E6030000}"/>
    <cellStyle name="40% - Accent1 2 9" xfId="999" xr:uid="{00000000-0005-0000-0000-0000E7030000}"/>
    <cellStyle name="40% - Accent1 2 9 2" xfId="1000" xr:uid="{00000000-0005-0000-0000-0000E8030000}"/>
    <cellStyle name="40% - Accent1 3" xfId="1001" xr:uid="{00000000-0005-0000-0000-0000E9030000}"/>
    <cellStyle name="40% - Accent1 3 2" xfId="1002" xr:uid="{00000000-0005-0000-0000-0000EA030000}"/>
    <cellStyle name="40% - Accent1 3 2 2" xfId="1003" xr:uid="{00000000-0005-0000-0000-0000EB030000}"/>
    <cellStyle name="40% - Accent1 3 2 2 2" xfId="1004" xr:uid="{00000000-0005-0000-0000-0000EC030000}"/>
    <cellStyle name="40% - Accent1 3 2 3" xfId="1005" xr:uid="{00000000-0005-0000-0000-0000ED030000}"/>
    <cellStyle name="40% - Accent1 3 3" xfId="1006" xr:uid="{00000000-0005-0000-0000-0000EE030000}"/>
    <cellStyle name="40% - Accent1 3 3 2" xfId="1007" xr:uid="{00000000-0005-0000-0000-0000EF030000}"/>
    <cellStyle name="40% - Accent1 3 4" xfId="1008" xr:uid="{00000000-0005-0000-0000-0000F0030000}"/>
    <cellStyle name="40% - Accent1 3 4 2" xfId="1009" xr:uid="{00000000-0005-0000-0000-0000F1030000}"/>
    <cellStyle name="40% - Accent1 3 4 2 2" xfId="1010" xr:uid="{00000000-0005-0000-0000-0000F2030000}"/>
    <cellStyle name="40% - Accent1 3 4 3" xfId="1011" xr:uid="{00000000-0005-0000-0000-0000F3030000}"/>
    <cellStyle name="40% - Accent1 3 5" xfId="1012" xr:uid="{00000000-0005-0000-0000-0000F4030000}"/>
    <cellStyle name="40% - Accent1 4" xfId="1013" xr:uid="{00000000-0005-0000-0000-0000F5030000}"/>
    <cellStyle name="40% - Accent1 4 2" xfId="1014" xr:uid="{00000000-0005-0000-0000-0000F6030000}"/>
    <cellStyle name="40% - Accent1 4 2 2" xfId="1015" xr:uid="{00000000-0005-0000-0000-0000F7030000}"/>
    <cellStyle name="40% - Accent1 4 3" xfId="1016" xr:uid="{00000000-0005-0000-0000-0000F8030000}"/>
    <cellStyle name="40% - Accent1 4 3 2" xfId="1017" xr:uid="{00000000-0005-0000-0000-0000F9030000}"/>
    <cellStyle name="40% - Accent1 4 3 2 2" xfId="1018" xr:uid="{00000000-0005-0000-0000-0000FA030000}"/>
    <cellStyle name="40% - Accent1 4 3 3" xfId="1019" xr:uid="{00000000-0005-0000-0000-0000FB030000}"/>
    <cellStyle name="40% - Accent1 4 4" xfId="1020" xr:uid="{00000000-0005-0000-0000-0000FC030000}"/>
    <cellStyle name="40% - Accent1 5" xfId="1021" xr:uid="{00000000-0005-0000-0000-0000FD030000}"/>
    <cellStyle name="40% - Accent1 5 2" xfId="1022" xr:uid="{00000000-0005-0000-0000-0000FE030000}"/>
    <cellStyle name="40% - Accent1 5 2 2" xfId="1023" xr:uid="{00000000-0005-0000-0000-0000FF030000}"/>
    <cellStyle name="40% - Accent1 5 2 2 2" xfId="1024" xr:uid="{00000000-0005-0000-0000-000000040000}"/>
    <cellStyle name="40% - Accent1 5 2 3" xfId="1025" xr:uid="{00000000-0005-0000-0000-000001040000}"/>
    <cellStyle name="40% - Accent1 5 3" xfId="1026" xr:uid="{00000000-0005-0000-0000-000002040000}"/>
    <cellStyle name="40% - Accent1 5 3 2" xfId="1027" xr:uid="{00000000-0005-0000-0000-000003040000}"/>
    <cellStyle name="40% - Accent1 5 3 2 2" xfId="1028" xr:uid="{00000000-0005-0000-0000-000004040000}"/>
    <cellStyle name="40% - Accent1 5 3 2 2 2" xfId="1029" xr:uid="{00000000-0005-0000-0000-000005040000}"/>
    <cellStyle name="40% - Accent1 5 3 2 3" xfId="1030" xr:uid="{00000000-0005-0000-0000-000006040000}"/>
    <cellStyle name="40% - Accent1 5 3 3" xfId="1031" xr:uid="{00000000-0005-0000-0000-000007040000}"/>
    <cellStyle name="40% - Accent1 5 3 3 2" xfId="1032" xr:uid="{00000000-0005-0000-0000-000008040000}"/>
    <cellStyle name="40% - Accent1 5 3 4" xfId="1033" xr:uid="{00000000-0005-0000-0000-000009040000}"/>
    <cellStyle name="40% - Accent1 5 4" xfId="1034" xr:uid="{00000000-0005-0000-0000-00000A040000}"/>
    <cellStyle name="40% - Accent1 5 4 2" xfId="1035" xr:uid="{00000000-0005-0000-0000-00000B040000}"/>
    <cellStyle name="40% - Accent1 5 5" xfId="1036" xr:uid="{00000000-0005-0000-0000-00000C040000}"/>
    <cellStyle name="40% - Accent1 6" xfId="1037" xr:uid="{00000000-0005-0000-0000-00000D040000}"/>
    <cellStyle name="40% - Accent1 6 2" xfId="1038" xr:uid="{00000000-0005-0000-0000-00000E040000}"/>
    <cellStyle name="40% - Accent1 6 2 2" xfId="1039" xr:uid="{00000000-0005-0000-0000-00000F040000}"/>
    <cellStyle name="40% - Accent1 6 2 2 2" xfId="1040" xr:uid="{00000000-0005-0000-0000-000010040000}"/>
    <cellStyle name="40% - Accent1 6 2 3" xfId="1041" xr:uid="{00000000-0005-0000-0000-000011040000}"/>
    <cellStyle name="40% - Accent1 6 3" xfId="1042" xr:uid="{00000000-0005-0000-0000-000012040000}"/>
    <cellStyle name="40% - Accent1 6 3 2" xfId="1043" xr:uid="{00000000-0005-0000-0000-000013040000}"/>
    <cellStyle name="40% - Accent1 6 4" xfId="1044" xr:uid="{00000000-0005-0000-0000-000014040000}"/>
    <cellStyle name="40% - Accent1 7" xfId="1045" xr:uid="{00000000-0005-0000-0000-000015040000}"/>
    <cellStyle name="40% - Accent1 8" xfId="1046" xr:uid="{00000000-0005-0000-0000-000016040000}"/>
    <cellStyle name="40% - Accent2 2" xfId="1047" xr:uid="{00000000-0005-0000-0000-000017040000}"/>
    <cellStyle name="40% - Accent2 2 10" xfId="1048" xr:uid="{00000000-0005-0000-0000-000018040000}"/>
    <cellStyle name="40% - Accent2 2 10 2" xfId="1049" xr:uid="{00000000-0005-0000-0000-000019040000}"/>
    <cellStyle name="40% - Accent2 2 11" xfId="1050" xr:uid="{00000000-0005-0000-0000-00001A040000}"/>
    <cellStyle name="40% - Accent2 2 2" xfId="1051" xr:uid="{00000000-0005-0000-0000-00001B040000}"/>
    <cellStyle name="40% - Accent2 2 2 2" xfId="1052" xr:uid="{00000000-0005-0000-0000-00001C040000}"/>
    <cellStyle name="40% - Accent2 2 2 2 2" xfId="1053" xr:uid="{00000000-0005-0000-0000-00001D040000}"/>
    <cellStyle name="40% - Accent2 2 2 2 2 2" xfId="1054" xr:uid="{00000000-0005-0000-0000-00001E040000}"/>
    <cellStyle name="40% - Accent2 2 2 2 3" xfId="1055" xr:uid="{00000000-0005-0000-0000-00001F040000}"/>
    <cellStyle name="40% - Accent2 2 2 2 3 2" xfId="1056" xr:uid="{00000000-0005-0000-0000-000020040000}"/>
    <cellStyle name="40% - Accent2 2 2 2 3 2 2" xfId="1057" xr:uid="{00000000-0005-0000-0000-000021040000}"/>
    <cellStyle name="40% - Accent2 2 2 2 3 3" xfId="1058" xr:uid="{00000000-0005-0000-0000-000022040000}"/>
    <cellStyle name="40% - Accent2 2 2 2 4" xfId="1059" xr:uid="{00000000-0005-0000-0000-000023040000}"/>
    <cellStyle name="40% - Accent2 2 2 3" xfId="1060" xr:uid="{00000000-0005-0000-0000-000024040000}"/>
    <cellStyle name="40% - Accent2 2 2 3 2" xfId="1061" xr:uid="{00000000-0005-0000-0000-000025040000}"/>
    <cellStyle name="40% - Accent2 2 2 3 2 2" xfId="1062" xr:uid="{00000000-0005-0000-0000-000026040000}"/>
    <cellStyle name="40% - Accent2 2 2 3 3" xfId="1063" xr:uid="{00000000-0005-0000-0000-000027040000}"/>
    <cellStyle name="40% - Accent2 2 2 4" xfId="1064" xr:uid="{00000000-0005-0000-0000-000028040000}"/>
    <cellStyle name="40% - Accent2 2 2 4 2" xfId="1065" xr:uid="{00000000-0005-0000-0000-000029040000}"/>
    <cellStyle name="40% - Accent2 2 2 4 2 2" xfId="1066" xr:uid="{00000000-0005-0000-0000-00002A040000}"/>
    <cellStyle name="40% - Accent2 2 2 4 2 2 2" xfId="1067" xr:uid="{00000000-0005-0000-0000-00002B040000}"/>
    <cellStyle name="40% - Accent2 2 2 4 2 3" xfId="1068" xr:uid="{00000000-0005-0000-0000-00002C040000}"/>
    <cellStyle name="40% - Accent2 2 2 4 3" xfId="1069" xr:uid="{00000000-0005-0000-0000-00002D040000}"/>
    <cellStyle name="40% - Accent2 2 2 4 3 2" xfId="1070" xr:uid="{00000000-0005-0000-0000-00002E040000}"/>
    <cellStyle name="40% - Accent2 2 2 4 4" xfId="1071" xr:uid="{00000000-0005-0000-0000-00002F040000}"/>
    <cellStyle name="40% - Accent2 2 2 5" xfId="1072" xr:uid="{00000000-0005-0000-0000-000030040000}"/>
    <cellStyle name="40% - Accent2 2 2 5 2" xfId="1073" xr:uid="{00000000-0005-0000-0000-000031040000}"/>
    <cellStyle name="40% - Accent2 2 2 6" xfId="1074" xr:uid="{00000000-0005-0000-0000-000032040000}"/>
    <cellStyle name="40% - Accent2 2 3" xfId="1075" xr:uid="{00000000-0005-0000-0000-000033040000}"/>
    <cellStyle name="40% - Accent2 2 3 2" xfId="1076" xr:uid="{00000000-0005-0000-0000-000034040000}"/>
    <cellStyle name="40% - Accent2 2 3 2 2" xfId="1077" xr:uid="{00000000-0005-0000-0000-000035040000}"/>
    <cellStyle name="40% - Accent2 2 3 2 2 2" xfId="1078" xr:uid="{00000000-0005-0000-0000-000036040000}"/>
    <cellStyle name="40% - Accent2 2 3 2 3" xfId="1079" xr:uid="{00000000-0005-0000-0000-000037040000}"/>
    <cellStyle name="40% - Accent2 2 3 3" xfId="1080" xr:uid="{00000000-0005-0000-0000-000038040000}"/>
    <cellStyle name="40% - Accent2 2 3 3 2" xfId="1081" xr:uid="{00000000-0005-0000-0000-000039040000}"/>
    <cellStyle name="40% - Accent2 2 3 3 2 2" xfId="1082" xr:uid="{00000000-0005-0000-0000-00003A040000}"/>
    <cellStyle name="40% - Accent2 2 3 3 2 2 2" xfId="1083" xr:uid="{00000000-0005-0000-0000-00003B040000}"/>
    <cellStyle name="40% - Accent2 2 3 3 2 3" xfId="1084" xr:uid="{00000000-0005-0000-0000-00003C040000}"/>
    <cellStyle name="40% - Accent2 2 3 3 3" xfId="1085" xr:uid="{00000000-0005-0000-0000-00003D040000}"/>
    <cellStyle name="40% - Accent2 2 3 3 3 2" xfId="1086" xr:uid="{00000000-0005-0000-0000-00003E040000}"/>
    <cellStyle name="40% - Accent2 2 3 3 4" xfId="1087" xr:uid="{00000000-0005-0000-0000-00003F040000}"/>
    <cellStyle name="40% - Accent2 2 3 4" xfId="1088" xr:uid="{00000000-0005-0000-0000-000040040000}"/>
    <cellStyle name="40% - Accent2 2 3 4 2" xfId="1089" xr:uid="{00000000-0005-0000-0000-000041040000}"/>
    <cellStyle name="40% - Accent2 2 3 5" xfId="1090" xr:uid="{00000000-0005-0000-0000-000042040000}"/>
    <cellStyle name="40% - Accent2 2 4" xfId="1091" xr:uid="{00000000-0005-0000-0000-000043040000}"/>
    <cellStyle name="40% - Accent2 2 4 2" xfId="1092" xr:uid="{00000000-0005-0000-0000-000044040000}"/>
    <cellStyle name="40% - Accent2 2 4 2 2" xfId="1093" xr:uid="{00000000-0005-0000-0000-000045040000}"/>
    <cellStyle name="40% - Accent2 2 4 2 2 2" xfId="1094" xr:uid="{00000000-0005-0000-0000-000046040000}"/>
    <cellStyle name="40% - Accent2 2 4 2 3" xfId="1095" xr:uid="{00000000-0005-0000-0000-000047040000}"/>
    <cellStyle name="40% - Accent2 2 4 3" xfId="1096" xr:uid="{00000000-0005-0000-0000-000048040000}"/>
    <cellStyle name="40% - Accent2 2 4 3 2" xfId="1097" xr:uid="{00000000-0005-0000-0000-000049040000}"/>
    <cellStyle name="40% - Accent2 2 4 4" xfId="1098" xr:uid="{00000000-0005-0000-0000-00004A040000}"/>
    <cellStyle name="40% - Accent2 2 5" xfId="1099" xr:uid="{00000000-0005-0000-0000-00004B040000}"/>
    <cellStyle name="40% - Accent2 2 5 2" xfId="1100" xr:uid="{00000000-0005-0000-0000-00004C040000}"/>
    <cellStyle name="40% - Accent2 2 5 2 2" xfId="1101" xr:uid="{00000000-0005-0000-0000-00004D040000}"/>
    <cellStyle name="40% - Accent2 2 5 2 2 2" xfId="1102" xr:uid="{00000000-0005-0000-0000-00004E040000}"/>
    <cellStyle name="40% - Accent2 2 5 2 3" xfId="1103" xr:uid="{00000000-0005-0000-0000-00004F040000}"/>
    <cellStyle name="40% - Accent2 2 5 3" xfId="1104" xr:uid="{00000000-0005-0000-0000-000050040000}"/>
    <cellStyle name="40% - Accent2 2 5 3 2" xfId="1105" xr:uid="{00000000-0005-0000-0000-000051040000}"/>
    <cellStyle name="40% - Accent2 2 5 3 2 2" xfId="1106" xr:uid="{00000000-0005-0000-0000-000052040000}"/>
    <cellStyle name="40% - Accent2 2 5 3 2 2 2" xfId="1107" xr:uid="{00000000-0005-0000-0000-000053040000}"/>
    <cellStyle name="40% - Accent2 2 5 3 2 3" xfId="1108" xr:uid="{00000000-0005-0000-0000-000054040000}"/>
    <cellStyle name="40% - Accent2 2 5 3 3" xfId="1109" xr:uid="{00000000-0005-0000-0000-000055040000}"/>
    <cellStyle name="40% - Accent2 2 5 3 3 2" xfId="1110" xr:uid="{00000000-0005-0000-0000-000056040000}"/>
    <cellStyle name="40% - Accent2 2 5 3 4" xfId="1111" xr:uid="{00000000-0005-0000-0000-000057040000}"/>
    <cellStyle name="40% - Accent2 2 5 4" xfId="1112" xr:uid="{00000000-0005-0000-0000-000058040000}"/>
    <cellStyle name="40% - Accent2 2 5 4 2" xfId="1113" xr:uid="{00000000-0005-0000-0000-000059040000}"/>
    <cellStyle name="40% - Accent2 2 5 5" xfId="1114" xr:uid="{00000000-0005-0000-0000-00005A040000}"/>
    <cellStyle name="40% - Accent2 2 6" xfId="1115" xr:uid="{00000000-0005-0000-0000-00005B040000}"/>
    <cellStyle name="40% - Accent2 2 6 2" xfId="1116" xr:uid="{00000000-0005-0000-0000-00005C040000}"/>
    <cellStyle name="40% - Accent2 2 6 2 2" xfId="1117" xr:uid="{00000000-0005-0000-0000-00005D040000}"/>
    <cellStyle name="40% - Accent2 2 6 3" xfId="1118" xr:uid="{00000000-0005-0000-0000-00005E040000}"/>
    <cellStyle name="40% - Accent2 2 7" xfId="1119" xr:uid="{00000000-0005-0000-0000-00005F040000}"/>
    <cellStyle name="40% - Accent2 2 7 2" xfId="1120" xr:uid="{00000000-0005-0000-0000-000060040000}"/>
    <cellStyle name="40% - Accent2 2 7 2 2" xfId="1121" xr:uid="{00000000-0005-0000-0000-000061040000}"/>
    <cellStyle name="40% - Accent2 2 7 3" xfId="1122" xr:uid="{00000000-0005-0000-0000-000062040000}"/>
    <cellStyle name="40% - Accent2 2 8" xfId="1123" xr:uid="{00000000-0005-0000-0000-000063040000}"/>
    <cellStyle name="40% - Accent2 2 8 2" xfId="1124" xr:uid="{00000000-0005-0000-0000-000064040000}"/>
    <cellStyle name="40% - Accent2 2 8 2 2" xfId="1125" xr:uid="{00000000-0005-0000-0000-000065040000}"/>
    <cellStyle name="40% - Accent2 2 8 2 2 2" xfId="1126" xr:uid="{00000000-0005-0000-0000-000066040000}"/>
    <cellStyle name="40% - Accent2 2 8 2 3" xfId="1127" xr:uid="{00000000-0005-0000-0000-000067040000}"/>
    <cellStyle name="40% - Accent2 2 8 3" xfId="1128" xr:uid="{00000000-0005-0000-0000-000068040000}"/>
    <cellStyle name="40% - Accent2 2 8 3 2" xfId="1129" xr:uid="{00000000-0005-0000-0000-000069040000}"/>
    <cellStyle name="40% - Accent2 2 8 4" xfId="1130" xr:uid="{00000000-0005-0000-0000-00006A040000}"/>
    <cellStyle name="40% - Accent2 2 9" xfId="1131" xr:uid="{00000000-0005-0000-0000-00006B040000}"/>
    <cellStyle name="40% - Accent2 2 9 2" xfId="1132" xr:uid="{00000000-0005-0000-0000-00006C040000}"/>
    <cellStyle name="40% - Accent2 3" xfId="1133" xr:uid="{00000000-0005-0000-0000-00006D040000}"/>
    <cellStyle name="40% - Accent2 3 2" xfId="1134" xr:uid="{00000000-0005-0000-0000-00006E040000}"/>
    <cellStyle name="40% - Accent2 3 2 2" xfId="1135" xr:uid="{00000000-0005-0000-0000-00006F040000}"/>
    <cellStyle name="40% - Accent2 3 2 2 2" xfId="1136" xr:uid="{00000000-0005-0000-0000-000070040000}"/>
    <cellStyle name="40% - Accent2 3 2 3" xfId="1137" xr:uid="{00000000-0005-0000-0000-000071040000}"/>
    <cellStyle name="40% - Accent2 3 3" xfId="1138" xr:uid="{00000000-0005-0000-0000-000072040000}"/>
    <cellStyle name="40% - Accent2 3 3 2" xfId="1139" xr:uid="{00000000-0005-0000-0000-000073040000}"/>
    <cellStyle name="40% - Accent2 3 4" xfId="1140" xr:uid="{00000000-0005-0000-0000-000074040000}"/>
    <cellStyle name="40% - Accent2 3 4 2" xfId="1141" xr:uid="{00000000-0005-0000-0000-000075040000}"/>
    <cellStyle name="40% - Accent2 3 4 2 2" xfId="1142" xr:uid="{00000000-0005-0000-0000-000076040000}"/>
    <cellStyle name="40% - Accent2 3 4 3" xfId="1143" xr:uid="{00000000-0005-0000-0000-000077040000}"/>
    <cellStyle name="40% - Accent2 3 5" xfId="1144" xr:uid="{00000000-0005-0000-0000-000078040000}"/>
    <cellStyle name="40% - Accent2 4" xfId="1145" xr:uid="{00000000-0005-0000-0000-000079040000}"/>
    <cellStyle name="40% - Accent2 4 2" xfId="1146" xr:uid="{00000000-0005-0000-0000-00007A040000}"/>
    <cellStyle name="40% - Accent2 4 2 2" xfId="1147" xr:uid="{00000000-0005-0000-0000-00007B040000}"/>
    <cellStyle name="40% - Accent2 4 3" xfId="1148" xr:uid="{00000000-0005-0000-0000-00007C040000}"/>
    <cellStyle name="40% - Accent2 4 3 2" xfId="1149" xr:uid="{00000000-0005-0000-0000-00007D040000}"/>
    <cellStyle name="40% - Accent2 4 3 2 2" xfId="1150" xr:uid="{00000000-0005-0000-0000-00007E040000}"/>
    <cellStyle name="40% - Accent2 4 3 3" xfId="1151" xr:uid="{00000000-0005-0000-0000-00007F040000}"/>
    <cellStyle name="40% - Accent2 4 4" xfId="1152" xr:uid="{00000000-0005-0000-0000-000080040000}"/>
    <cellStyle name="40% - Accent2 5" xfId="1153" xr:uid="{00000000-0005-0000-0000-000081040000}"/>
    <cellStyle name="40% - Accent2 5 2" xfId="1154" xr:uid="{00000000-0005-0000-0000-000082040000}"/>
    <cellStyle name="40% - Accent2 5 2 2" xfId="1155" xr:uid="{00000000-0005-0000-0000-000083040000}"/>
    <cellStyle name="40% - Accent2 5 2 2 2" xfId="1156" xr:uid="{00000000-0005-0000-0000-000084040000}"/>
    <cellStyle name="40% - Accent2 5 2 3" xfId="1157" xr:uid="{00000000-0005-0000-0000-000085040000}"/>
    <cellStyle name="40% - Accent2 5 3" xfId="1158" xr:uid="{00000000-0005-0000-0000-000086040000}"/>
    <cellStyle name="40% - Accent2 5 3 2" xfId="1159" xr:uid="{00000000-0005-0000-0000-000087040000}"/>
    <cellStyle name="40% - Accent2 5 3 2 2" xfId="1160" xr:uid="{00000000-0005-0000-0000-000088040000}"/>
    <cellStyle name="40% - Accent2 5 3 2 2 2" xfId="1161" xr:uid="{00000000-0005-0000-0000-000089040000}"/>
    <cellStyle name="40% - Accent2 5 3 2 3" xfId="1162" xr:uid="{00000000-0005-0000-0000-00008A040000}"/>
    <cellStyle name="40% - Accent2 5 3 3" xfId="1163" xr:uid="{00000000-0005-0000-0000-00008B040000}"/>
    <cellStyle name="40% - Accent2 5 3 3 2" xfId="1164" xr:uid="{00000000-0005-0000-0000-00008C040000}"/>
    <cellStyle name="40% - Accent2 5 3 4" xfId="1165" xr:uid="{00000000-0005-0000-0000-00008D040000}"/>
    <cellStyle name="40% - Accent2 5 4" xfId="1166" xr:uid="{00000000-0005-0000-0000-00008E040000}"/>
    <cellStyle name="40% - Accent2 5 4 2" xfId="1167" xr:uid="{00000000-0005-0000-0000-00008F040000}"/>
    <cellStyle name="40% - Accent2 5 5" xfId="1168" xr:uid="{00000000-0005-0000-0000-000090040000}"/>
    <cellStyle name="40% - Accent2 6" xfId="1169" xr:uid="{00000000-0005-0000-0000-000091040000}"/>
    <cellStyle name="40% - Accent2 6 2" xfId="1170" xr:uid="{00000000-0005-0000-0000-000092040000}"/>
    <cellStyle name="40% - Accent2 6 2 2" xfId="1171" xr:uid="{00000000-0005-0000-0000-000093040000}"/>
    <cellStyle name="40% - Accent2 6 2 2 2" xfId="1172" xr:uid="{00000000-0005-0000-0000-000094040000}"/>
    <cellStyle name="40% - Accent2 6 2 3" xfId="1173" xr:uid="{00000000-0005-0000-0000-000095040000}"/>
    <cellStyle name="40% - Accent2 6 3" xfId="1174" xr:uid="{00000000-0005-0000-0000-000096040000}"/>
    <cellStyle name="40% - Accent2 6 3 2" xfId="1175" xr:uid="{00000000-0005-0000-0000-000097040000}"/>
    <cellStyle name="40% - Accent2 6 4" xfId="1176" xr:uid="{00000000-0005-0000-0000-000098040000}"/>
    <cellStyle name="40% - Accent2 7" xfId="1177" xr:uid="{00000000-0005-0000-0000-000099040000}"/>
    <cellStyle name="40% - Accent2 8" xfId="1178" xr:uid="{00000000-0005-0000-0000-00009A040000}"/>
    <cellStyle name="40% - Accent3 2" xfId="1179" xr:uid="{00000000-0005-0000-0000-00009B040000}"/>
    <cellStyle name="40% - Accent3 2 10" xfId="1180" xr:uid="{00000000-0005-0000-0000-00009C040000}"/>
    <cellStyle name="40% - Accent3 2 10 2" xfId="1181" xr:uid="{00000000-0005-0000-0000-00009D040000}"/>
    <cellStyle name="40% - Accent3 2 11" xfId="1182" xr:uid="{00000000-0005-0000-0000-00009E040000}"/>
    <cellStyle name="40% - Accent3 2 2" xfId="1183" xr:uid="{00000000-0005-0000-0000-00009F040000}"/>
    <cellStyle name="40% - Accent3 2 2 2" xfId="1184" xr:uid="{00000000-0005-0000-0000-0000A0040000}"/>
    <cellStyle name="40% - Accent3 2 2 2 2" xfId="1185" xr:uid="{00000000-0005-0000-0000-0000A1040000}"/>
    <cellStyle name="40% - Accent3 2 2 2 2 2" xfId="1186" xr:uid="{00000000-0005-0000-0000-0000A2040000}"/>
    <cellStyle name="40% - Accent3 2 2 2 3" xfId="1187" xr:uid="{00000000-0005-0000-0000-0000A3040000}"/>
    <cellStyle name="40% - Accent3 2 2 2 3 2" xfId="1188" xr:uid="{00000000-0005-0000-0000-0000A4040000}"/>
    <cellStyle name="40% - Accent3 2 2 2 3 2 2" xfId="1189" xr:uid="{00000000-0005-0000-0000-0000A5040000}"/>
    <cellStyle name="40% - Accent3 2 2 2 3 3" xfId="1190" xr:uid="{00000000-0005-0000-0000-0000A6040000}"/>
    <cellStyle name="40% - Accent3 2 2 2 4" xfId="1191" xr:uid="{00000000-0005-0000-0000-0000A7040000}"/>
    <cellStyle name="40% - Accent3 2 2 3" xfId="1192" xr:uid="{00000000-0005-0000-0000-0000A8040000}"/>
    <cellStyle name="40% - Accent3 2 2 3 2" xfId="1193" xr:uid="{00000000-0005-0000-0000-0000A9040000}"/>
    <cellStyle name="40% - Accent3 2 2 3 2 2" xfId="1194" xr:uid="{00000000-0005-0000-0000-0000AA040000}"/>
    <cellStyle name="40% - Accent3 2 2 3 3" xfId="1195" xr:uid="{00000000-0005-0000-0000-0000AB040000}"/>
    <cellStyle name="40% - Accent3 2 2 4" xfId="1196" xr:uid="{00000000-0005-0000-0000-0000AC040000}"/>
    <cellStyle name="40% - Accent3 2 2 4 2" xfId="1197" xr:uid="{00000000-0005-0000-0000-0000AD040000}"/>
    <cellStyle name="40% - Accent3 2 2 4 2 2" xfId="1198" xr:uid="{00000000-0005-0000-0000-0000AE040000}"/>
    <cellStyle name="40% - Accent3 2 2 4 2 2 2" xfId="1199" xr:uid="{00000000-0005-0000-0000-0000AF040000}"/>
    <cellStyle name="40% - Accent3 2 2 4 2 3" xfId="1200" xr:uid="{00000000-0005-0000-0000-0000B0040000}"/>
    <cellStyle name="40% - Accent3 2 2 4 3" xfId="1201" xr:uid="{00000000-0005-0000-0000-0000B1040000}"/>
    <cellStyle name="40% - Accent3 2 2 4 3 2" xfId="1202" xr:uid="{00000000-0005-0000-0000-0000B2040000}"/>
    <cellStyle name="40% - Accent3 2 2 4 4" xfId="1203" xr:uid="{00000000-0005-0000-0000-0000B3040000}"/>
    <cellStyle name="40% - Accent3 2 2 5" xfId="1204" xr:uid="{00000000-0005-0000-0000-0000B4040000}"/>
    <cellStyle name="40% - Accent3 2 2 5 2" xfId="1205" xr:uid="{00000000-0005-0000-0000-0000B5040000}"/>
    <cellStyle name="40% - Accent3 2 2 6" xfId="1206" xr:uid="{00000000-0005-0000-0000-0000B6040000}"/>
    <cellStyle name="40% - Accent3 2 3" xfId="1207" xr:uid="{00000000-0005-0000-0000-0000B7040000}"/>
    <cellStyle name="40% - Accent3 2 3 2" xfId="1208" xr:uid="{00000000-0005-0000-0000-0000B8040000}"/>
    <cellStyle name="40% - Accent3 2 3 2 2" xfId="1209" xr:uid="{00000000-0005-0000-0000-0000B9040000}"/>
    <cellStyle name="40% - Accent3 2 3 2 2 2" xfId="1210" xr:uid="{00000000-0005-0000-0000-0000BA040000}"/>
    <cellStyle name="40% - Accent3 2 3 2 3" xfId="1211" xr:uid="{00000000-0005-0000-0000-0000BB040000}"/>
    <cellStyle name="40% - Accent3 2 3 3" xfId="1212" xr:uid="{00000000-0005-0000-0000-0000BC040000}"/>
    <cellStyle name="40% - Accent3 2 3 3 2" xfId="1213" xr:uid="{00000000-0005-0000-0000-0000BD040000}"/>
    <cellStyle name="40% - Accent3 2 3 3 2 2" xfId="1214" xr:uid="{00000000-0005-0000-0000-0000BE040000}"/>
    <cellStyle name="40% - Accent3 2 3 3 2 2 2" xfId="1215" xr:uid="{00000000-0005-0000-0000-0000BF040000}"/>
    <cellStyle name="40% - Accent3 2 3 3 2 3" xfId="1216" xr:uid="{00000000-0005-0000-0000-0000C0040000}"/>
    <cellStyle name="40% - Accent3 2 3 3 3" xfId="1217" xr:uid="{00000000-0005-0000-0000-0000C1040000}"/>
    <cellStyle name="40% - Accent3 2 3 3 3 2" xfId="1218" xr:uid="{00000000-0005-0000-0000-0000C2040000}"/>
    <cellStyle name="40% - Accent3 2 3 3 4" xfId="1219" xr:uid="{00000000-0005-0000-0000-0000C3040000}"/>
    <cellStyle name="40% - Accent3 2 3 4" xfId="1220" xr:uid="{00000000-0005-0000-0000-0000C4040000}"/>
    <cellStyle name="40% - Accent3 2 3 4 2" xfId="1221" xr:uid="{00000000-0005-0000-0000-0000C5040000}"/>
    <cellStyle name="40% - Accent3 2 3 5" xfId="1222" xr:uid="{00000000-0005-0000-0000-0000C6040000}"/>
    <cellStyle name="40% - Accent3 2 4" xfId="1223" xr:uid="{00000000-0005-0000-0000-0000C7040000}"/>
    <cellStyle name="40% - Accent3 2 4 2" xfId="1224" xr:uid="{00000000-0005-0000-0000-0000C8040000}"/>
    <cellStyle name="40% - Accent3 2 4 2 2" xfId="1225" xr:uid="{00000000-0005-0000-0000-0000C9040000}"/>
    <cellStyle name="40% - Accent3 2 4 2 2 2" xfId="1226" xr:uid="{00000000-0005-0000-0000-0000CA040000}"/>
    <cellStyle name="40% - Accent3 2 4 2 3" xfId="1227" xr:uid="{00000000-0005-0000-0000-0000CB040000}"/>
    <cellStyle name="40% - Accent3 2 4 3" xfId="1228" xr:uid="{00000000-0005-0000-0000-0000CC040000}"/>
    <cellStyle name="40% - Accent3 2 4 3 2" xfId="1229" xr:uid="{00000000-0005-0000-0000-0000CD040000}"/>
    <cellStyle name="40% - Accent3 2 4 4" xfId="1230" xr:uid="{00000000-0005-0000-0000-0000CE040000}"/>
    <cellStyle name="40% - Accent3 2 5" xfId="1231" xr:uid="{00000000-0005-0000-0000-0000CF040000}"/>
    <cellStyle name="40% - Accent3 2 5 2" xfId="1232" xr:uid="{00000000-0005-0000-0000-0000D0040000}"/>
    <cellStyle name="40% - Accent3 2 5 2 2" xfId="1233" xr:uid="{00000000-0005-0000-0000-0000D1040000}"/>
    <cellStyle name="40% - Accent3 2 5 2 2 2" xfId="1234" xr:uid="{00000000-0005-0000-0000-0000D2040000}"/>
    <cellStyle name="40% - Accent3 2 5 2 3" xfId="1235" xr:uid="{00000000-0005-0000-0000-0000D3040000}"/>
    <cellStyle name="40% - Accent3 2 5 3" xfId="1236" xr:uid="{00000000-0005-0000-0000-0000D4040000}"/>
    <cellStyle name="40% - Accent3 2 5 3 2" xfId="1237" xr:uid="{00000000-0005-0000-0000-0000D5040000}"/>
    <cellStyle name="40% - Accent3 2 5 3 2 2" xfId="1238" xr:uid="{00000000-0005-0000-0000-0000D6040000}"/>
    <cellStyle name="40% - Accent3 2 5 3 2 2 2" xfId="1239" xr:uid="{00000000-0005-0000-0000-0000D7040000}"/>
    <cellStyle name="40% - Accent3 2 5 3 2 3" xfId="1240" xr:uid="{00000000-0005-0000-0000-0000D8040000}"/>
    <cellStyle name="40% - Accent3 2 5 3 3" xfId="1241" xr:uid="{00000000-0005-0000-0000-0000D9040000}"/>
    <cellStyle name="40% - Accent3 2 5 3 3 2" xfId="1242" xr:uid="{00000000-0005-0000-0000-0000DA040000}"/>
    <cellStyle name="40% - Accent3 2 5 3 4" xfId="1243" xr:uid="{00000000-0005-0000-0000-0000DB040000}"/>
    <cellStyle name="40% - Accent3 2 5 4" xfId="1244" xr:uid="{00000000-0005-0000-0000-0000DC040000}"/>
    <cellStyle name="40% - Accent3 2 5 4 2" xfId="1245" xr:uid="{00000000-0005-0000-0000-0000DD040000}"/>
    <cellStyle name="40% - Accent3 2 5 5" xfId="1246" xr:uid="{00000000-0005-0000-0000-0000DE040000}"/>
    <cellStyle name="40% - Accent3 2 6" xfId="1247" xr:uid="{00000000-0005-0000-0000-0000DF040000}"/>
    <cellStyle name="40% - Accent3 2 6 2" xfId="1248" xr:uid="{00000000-0005-0000-0000-0000E0040000}"/>
    <cellStyle name="40% - Accent3 2 6 2 2" xfId="1249" xr:uid="{00000000-0005-0000-0000-0000E1040000}"/>
    <cellStyle name="40% - Accent3 2 6 3" xfId="1250" xr:uid="{00000000-0005-0000-0000-0000E2040000}"/>
    <cellStyle name="40% - Accent3 2 7" xfId="1251" xr:uid="{00000000-0005-0000-0000-0000E3040000}"/>
    <cellStyle name="40% - Accent3 2 7 2" xfId="1252" xr:uid="{00000000-0005-0000-0000-0000E4040000}"/>
    <cellStyle name="40% - Accent3 2 7 2 2" xfId="1253" xr:uid="{00000000-0005-0000-0000-0000E5040000}"/>
    <cellStyle name="40% - Accent3 2 7 3" xfId="1254" xr:uid="{00000000-0005-0000-0000-0000E6040000}"/>
    <cellStyle name="40% - Accent3 2 8" xfId="1255" xr:uid="{00000000-0005-0000-0000-0000E7040000}"/>
    <cellStyle name="40% - Accent3 2 8 2" xfId="1256" xr:uid="{00000000-0005-0000-0000-0000E8040000}"/>
    <cellStyle name="40% - Accent3 2 8 2 2" xfId="1257" xr:uid="{00000000-0005-0000-0000-0000E9040000}"/>
    <cellStyle name="40% - Accent3 2 8 2 2 2" xfId="1258" xr:uid="{00000000-0005-0000-0000-0000EA040000}"/>
    <cellStyle name="40% - Accent3 2 8 2 3" xfId="1259" xr:uid="{00000000-0005-0000-0000-0000EB040000}"/>
    <cellStyle name="40% - Accent3 2 8 3" xfId="1260" xr:uid="{00000000-0005-0000-0000-0000EC040000}"/>
    <cellStyle name="40% - Accent3 2 8 3 2" xfId="1261" xr:uid="{00000000-0005-0000-0000-0000ED040000}"/>
    <cellStyle name="40% - Accent3 2 8 4" xfId="1262" xr:uid="{00000000-0005-0000-0000-0000EE040000}"/>
    <cellStyle name="40% - Accent3 2 9" xfId="1263" xr:uid="{00000000-0005-0000-0000-0000EF040000}"/>
    <cellStyle name="40% - Accent3 2 9 2" xfId="1264" xr:uid="{00000000-0005-0000-0000-0000F0040000}"/>
    <cellStyle name="40% - Accent3 3" xfId="1265" xr:uid="{00000000-0005-0000-0000-0000F1040000}"/>
    <cellStyle name="40% - Accent3 3 2" xfId="1266" xr:uid="{00000000-0005-0000-0000-0000F2040000}"/>
    <cellStyle name="40% - Accent3 3 2 2" xfId="1267" xr:uid="{00000000-0005-0000-0000-0000F3040000}"/>
    <cellStyle name="40% - Accent3 3 2 2 2" xfId="1268" xr:uid="{00000000-0005-0000-0000-0000F4040000}"/>
    <cellStyle name="40% - Accent3 3 2 3" xfId="1269" xr:uid="{00000000-0005-0000-0000-0000F5040000}"/>
    <cellStyle name="40% - Accent3 3 3" xfId="1270" xr:uid="{00000000-0005-0000-0000-0000F6040000}"/>
    <cellStyle name="40% - Accent3 3 3 2" xfId="1271" xr:uid="{00000000-0005-0000-0000-0000F7040000}"/>
    <cellStyle name="40% - Accent3 3 4" xfId="1272" xr:uid="{00000000-0005-0000-0000-0000F8040000}"/>
    <cellStyle name="40% - Accent3 3 4 2" xfId="1273" xr:uid="{00000000-0005-0000-0000-0000F9040000}"/>
    <cellStyle name="40% - Accent3 3 4 2 2" xfId="1274" xr:uid="{00000000-0005-0000-0000-0000FA040000}"/>
    <cellStyle name="40% - Accent3 3 4 3" xfId="1275" xr:uid="{00000000-0005-0000-0000-0000FB040000}"/>
    <cellStyle name="40% - Accent3 3 5" xfId="1276" xr:uid="{00000000-0005-0000-0000-0000FC040000}"/>
    <cellStyle name="40% - Accent3 4" xfId="1277" xr:uid="{00000000-0005-0000-0000-0000FD040000}"/>
    <cellStyle name="40% - Accent3 4 2" xfId="1278" xr:uid="{00000000-0005-0000-0000-0000FE040000}"/>
    <cellStyle name="40% - Accent3 4 2 2" xfId="1279" xr:uid="{00000000-0005-0000-0000-0000FF040000}"/>
    <cellStyle name="40% - Accent3 4 3" xfId="1280" xr:uid="{00000000-0005-0000-0000-000000050000}"/>
    <cellStyle name="40% - Accent3 4 3 2" xfId="1281" xr:uid="{00000000-0005-0000-0000-000001050000}"/>
    <cellStyle name="40% - Accent3 4 3 2 2" xfId="1282" xr:uid="{00000000-0005-0000-0000-000002050000}"/>
    <cellStyle name="40% - Accent3 4 3 3" xfId="1283" xr:uid="{00000000-0005-0000-0000-000003050000}"/>
    <cellStyle name="40% - Accent3 4 4" xfId="1284" xr:uid="{00000000-0005-0000-0000-000004050000}"/>
    <cellStyle name="40% - Accent3 5" xfId="1285" xr:uid="{00000000-0005-0000-0000-000005050000}"/>
    <cellStyle name="40% - Accent3 5 2" xfId="1286" xr:uid="{00000000-0005-0000-0000-000006050000}"/>
    <cellStyle name="40% - Accent3 5 2 2" xfId="1287" xr:uid="{00000000-0005-0000-0000-000007050000}"/>
    <cellStyle name="40% - Accent3 5 2 2 2" xfId="1288" xr:uid="{00000000-0005-0000-0000-000008050000}"/>
    <cellStyle name="40% - Accent3 5 2 3" xfId="1289" xr:uid="{00000000-0005-0000-0000-000009050000}"/>
    <cellStyle name="40% - Accent3 5 3" xfId="1290" xr:uid="{00000000-0005-0000-0000-00000A050000}"/>
    <cellStyle name="40% - Accent3 5 3 2" xfId="1291" xr:uid="{00000000-0005-0000-0000-00000B050000}"/>
    <cellStyle name="40% - Accent3 5 3 2 2" xfId="1292" xr:uid="{00000000-0005-0000-0000-00000C050000}"/>
    <cellStyle name="40% - Accent3 5 3 2 2 2" xfId="1293" xr:uid="{00000000-0005-0000-0000-00000D050000}"/>
    <cellStyle name="40% - Accent3 5 3 2 3" xfId="1294" xr:uid="{00000000-0005-0000-0000-00000E050000}"/>
    <cellStyle name="40% - Accent3 5 3 3" xfId="1295" xr:uid="{00000000-0005-0000-0000-00000F050000}"/>
    <cellStyle name="40% - Accent3 5 3 3 2" xfId="1296" xr:uid="{00000000-0005-0000-0000-000010050000}"/>
    <cellStyle name="40% - Accent3 5 3 4" xfId="1297" xr:uid="{00000000-0005-0000-0000-000011050000}"/>
    <cellStyle name="40% - Accent3 5 4" xfId="1298" xr:uid="{00000000-0005-0000-0000-000012050000}"/>
    <cellStyle name="40% - Accent3 5 4 2" xfId="1299" xr:uid="{00000000-0005-0000-0000-000013050000}"/>
    <cellStyle name="40% - Accent3 5 5" xfId="1300" xr:uid="{00000000-0005-0000-0000-000014050000}"/>
    <cellStyle name="40% - Accent3 6" xfId="1301" xr:uid="{00000000-0005-0000-0000-000015050000}"/>
    <cellStyle name="40% - Accent3 6 2" xfId="1302" xr:uid="{00000000-0005-0000-0000-000016050000}"/>
    <cellStyle name="40% - Accent3 6 2 2" xfId="1303" xr:uid="{00000000-0005-0000-0000-000017050000}"/>
    <cellStyle name="40% - Accent3 6 2 2 2" xfId="1304" xr:uid="{00000000-0005-0000-0000-000018050000}"/>
    <cellStyle name="40% - Accent3 6 2 3" xfId="1305" xr:uid="{00000000-0005-0000-0000-000019050000}"/>
    <cellStyle name="40% - Accent3 6 3" xfId="1306" xr:uid="{00000000-0005-0000-0000-00001A050000}"/>
    <cellStyle name="40% - Accent3 6 3 2" xfId="1307" xr:uid="{00000000-0005-0000-0000-00001B050000}"/>
    <cellStyle name="40% - Accent3 6 4" xfId="1308" xr:uid="{00000000-0005-0000-0000-00001C050000}"/>
    <cellStyle name="40% - Accent3 7" xfId="1309" xr:uid="{00000000-0005-0000-0000-00001D050000}"/>
    <cellStyle name="40% - Accent3 8" xfId="1310" xr:uid="{00000000-0005-0000-0000-00001E050000}"/>
    <cellStyle name="40% - Accent4 2" xfId="1311" xr:uid="{00000000-0005-0000-0000-00001F050000}"/>
    <cellStyle name="40% - Accent4 2 10" xfId="1312" xr:uid="{00000000-0005-0000-0000-000020050000}"/>
    <cellStyle name="40% - Accent4 2 10 2" xfId="1313" xr:uid="{00000000-0005-0000-0000-000021050000}"/>
    <cellStyle name="40% - Accent4 2 11" xfId="1314" xr:uid="{00000000-0005-0000-0000-000022050000}"/>
    <cellStyle name="40% - Accent4 2 2" xfId="1315" xr:uid="{00000000-0005-0000-0000-000023050000}"/>
    <cellStyle name="40% - Accent4 2 2 2" xfId="1316" xr:uid="{00000000-0005-0000-0000-000024050000}"/>
    <cellStyle name="40% - Accent4 2 2 2 2" xfId="1317" xr:uid="{00000000-0005-0000-0000-000025050000}"/>
    <cellStyle name="40% - Accent4 2 2 2 2 2" xfId="1318" xr:uid="{00000000-0005-0000-0000-000026050000}"/>
    <cellStyle name="40% - Accent4 2 2 2 3" xfId="1319" xr:uid="{00000000-0005-0000-0000-000027050000}"/>
    <cellStyle name="40% - Accent4 2 2 2 3 2" xfId="1320" xr:uid="{00000000-0005-0000-0000-000028050000}"/>
    <cellStyle name="40% - Accent4 2 2 2 3 2 2" xfId="1321" xr:uid="{00000000-0005-0000-0000-000029050000}"/>
    <cellStyle name="40% - Accent4 2 2 2 3 3" xfId="1322" xr:uid="{00000000-0005-0000-0000-00002A050000}"/>
    <cellStyle name="40% - Accent4 2 2 2 4" xfId="1323" xr:uid="{00000000-0005-0000-0000-00002B050000}"/>
    <cellStyle name="40% - Accent4 2 2 3" xfId="1324" xr:uid="{00000000-0005-0000-0000-00002C050000}"/>
    <cellStyle name="40% - Accent4 2 2 3 2" xfId="1325" xr:uid="{00000000-0005-0000-0000-00002D050000}"/>
    <cellStyle name="40% - Accent4 2 2 3 2 2" xfId="1326" xr:uid="{00000000-0005-0000-0000-00002E050000}"/>
    <cellStyle name="40% - Accent4 2 2 3 3" xfId="1327" xr:uid="{00000000-0005-0000-0000-00002F050000}"/>
    <cellStyle name="40% - Accent4 2 2 4" xfId="1328" xr:uid="{00000000-0005-0000-0000-000030050000}"/>
    <cellStyle name="40% - Accent4 2 2 4 2" xfId="1329" xr:uid="{00000000-0005-0000-0000-000031050000}"/>
    <cellStyle name="40% - Accent4 2 2 4 2 2" xfId="1330" xr:uid="{00000000-0005-0000-0000-000032050000}"/>
    <cellStyle name="40% - Accent4 2 2 4 2 2 2" xfId="1331" xr:uid="{00000000-0005-0000-0000-000033050000}"/>
    <cellStyle name="40% - Accent4 2 2 4 2 3" xfId="1332" xr:uid="{00000000-0005-0000-0000-000034050000}"/>
    <cellStyle name="40% - Accent4 2 2 4 3" xfId="1333" xr:uid="{00000000-0005-0000-0000-000035050000}"/>
    <cellStyle name="40% - Accent4 2 2 4 3 2" xfId="1334" xr:uid="{00000000-0005-0000-0000-000036050000}"/>
    <cellStyle name="40% - Accent4 2 2 4 4" xfId="1335" xr:uid="{00000000-0005-0000-0000-000037050000}"/>
    <cellStyle name="40% - Accent4 2 2 5" xfId="1336" xr:uid="{00000000-0005-0000-0000-000038050000}"/>
    <cellStyle name="40% - Accent4 2 2 5 2" xfId="1337" xr:uid="{00000000-0005-0000-0000-000039050000}"/>
    <cellStyle name="40% - Accent4 2 2 6" xfId="1338" xr:uid="{00000000-0005-0000-0000-00003A050000}"/>
    <cellStyle name="40% - Accent4 2 3" xfId="1339" xr:uid="{00000000-0005-0000-0000-00003B050000}"/>
    <cellStyle name="40% - Accent4 2 3 2" xfId="1340" xr:uid="{00000000-0005-0000-0000-00003C050000}"/>
    <cellStyle name="40% - Accent4 2 3 2 2" xfId="1341" xr:uid="{00000000-0005-0000-0000-00003D050000}"/>
    <cellStyle name="40% - Accent4 2 3 2 2 2" xfId="1342" xr:uid="{00000000-0005-0000-0000-00003E050000}"/>
    <cellStyle name="40% - Accent4 2 3 2 3" xfId="1343" xr:uid="{00000000-0005-0000-0000-00003F050000}"/>
    <cellStyle name="40% - Accent4 2 3 3" xfId="1344" xr:uid="{00000000-0005-0000-0000-000040050000}"/>
    <cellStyle name="40% - Accent4 2 3 3 2" xfId="1345" xr:uid="{00000000-0005-0000-0000-000041050000}"/>
    <cellStyle name="40% - Accent4 2 3 3 2 2" xfId="1346" xr:uid="{00000000-0005-0000-0000-000042050000}"/>
    <cellStyle name="40% - Accent4 2 3 3 2 2 2" xfId="1347" xr:uid="{00000000-0005-0000-0000-000043050000}"/>
    <cellStyle name="40% - Accent4 2 3 3 2 3" xfId="1348" xr:uid="{00000000-0005-0000-0000-000044050000}"/>
    <cellStyle name="40% - Accent4 2 3 3 3" xfId="1349" xr:uid="{00000000-0005-0000-0000-000045050000}"/>
    <cellStyle name="40% - Accent4 2 3 3 3 2" xfId="1350" xr:uid="{00000000-0005-0000-0000-000046050000}"/>
    <cellStyle name="40% - Accent4 2 3 3 4" xfId="1351" xr:uid="{00000000-0005-0000-0000-000047050000}"/>
    <cellStyle name="40% - Accent4 2 3 4" xfId="1352" xr:uid="{00000000-0005-0000-0000-000048050000}"/>
    <cellStyle name="40% - Accent4 2 3 4 2" xfId="1353" xr:uid="{00000000-0005-0000-0000-000049050000}"/>
    <cellStyle name="40% - Accent4 2 3 5" xfId="1354" xr:uid="{00000000-0005-0000-0000-00004A050000}"/>
    <cellStyle name="40% - Accent4 2 4" xfId="1355" xr:uid="{00000000-0005-0000-0000-00004B050000}"/>
    <cellStyle name="40% - Accent4 2 4 2" xfId="1356" xr:uid="{00000000-0005-0000-0000-00004C050000}"/>
    <cellStyle name="40% - Accent4 2 4 2 2" xfId="1357" xr:uid="{00000000-0005-0000-0000-00004D050000}"/>
    <cellStyle name="40% - Accent4 2 4 2 2 2" xfId="1358" xr:uid="{00000000-0005-0000-0000-00004E050000}"/>
    <cellStyle name="40% - Accent4 2 4 2 3" xfId="1359" xr:uid="{00000000-0005-0000-0000-00004F050000}"/>
    <cellStyle name="40% - Accent4 2 4 3" xfId="1360" xr:uid="{00000000-0005-0000-0000-000050050000}"/>
    <cellStyle name="40% - Accent4 2 4 3 2" xfId="1361" xr:uid="{00000000-0005-0000-0000-000051050000}"/>
    <cellStyle name="40% - Accent4 2 4 4" xfId="1362" xr:uid="{00000000-0005-0000-0000-000052050000}"/>
    <cellStyle name="40% - Accent4 2 5" xfId="1363" xr:uid="{00000000-0005-0000-0000-000053050000}"/>
    <cellStyle name="40% - Accent4 2 5 2" xfId="1364" xr:uid="{00000000-0005-0000-0000-000054050000}"/>
    <cellStyle name="40% - Accent4 2 5 2 2" xfId="1365" xr:uid="{00000000-0005-0000-0000-000055050000}"/>
    <cellStyle name="40% - Accent4 2 5 2 2 2" xfId="1366" xr:uid="{00000000-0005-0000-0000-000056050000}"/>
    <cellStyle name="40% - Accent4 2 5 2 3" xfId="1367" xr:uid="{00000000-0005-0000-0000-000057050000}"/>
    <cellStyle name="40% - Accent4 2 5 3" xfId="1368" xr:uid="{00000000-0005-0000-0000-000058050000}"/>
    <cellStyle name="40% - Accent4 2 5 3 2" xfId="1369" xr:uid="{00000000-0005-0000-0000-000059050000}"/>
    <cellStyle name="40% - Accent4 2 5 3 2 2" xfId="1370" xr:uid="{00000000-0005-0000-0000-00005A050000}"/>
    <cellStyle name="40% - Accent4 2 5 3 2 2 2" xfId="1371" xr:uid="{00000000-0005-0000-0000-00005B050000}"/>
    <cellStyle name="40% - Accent4 2 5 3 2 3" xfId="1372" xr:uid="{00000000-0005-0000-0000-00005C050000}"/>
    <cellStyle name="40% - Accent4 2 5 3 3" xfId="1373" xr:uid="{00000000-0005-0000-0000-00005D050000}"/>
    <cellStyle name="40% - Accent4 2 5 3 3 2" xfId="1374" xr:uid="{00000000-0005-0000-0000-00005E050000}"/>
    <cellStyle name="40% - Accent4 2 5 3 4" xfId="1375" xr:uid="{00000000-0005-0000-0000-00005F050000}"/>
    <cellStyle name="40% - Accent4 2 5 4" xfId="1376" xr:uid="{00000000-0005-0000-0000-000060050000}"/>
    <cellStyle name="40% - Accent4 2 5 4 2" xfId="1377" xr:uid="{00000000-0005-0000-0000-000061050000}"/>
    <cellStyle name="40% - Accent4 2 5 5" xfId="1378" xr:uid="{00000000-0005-0000-0000-000062050000}"/>
    <cellStyle name="40% - Accent4 2 6" xfId="1379" xr:uid="{00000000-0005-0000-0000-000063050000}"/>
    <cellStyle name="40% - Accent4 2 6 2" xfId="1380" xr:uid="{00000000-0005-0000-0000-000064050000}"/>
    <cellStyle name="40% - Accent4 2 6 2 2" xfId="1381" xr:uid="{00000000-0005-0000-0000-000065050000}"/>
    <cellStyle name="40% - Accent4 2 6 3" xfId="1382" xr:uid="{00000000-0005-0000-0000-000066050000}"/>
    <cellStyle name="40% - Accent4 2 7" xfId="1383" xr:uid="{00000000-0005-0000-0000-000067050000}"/>
    <cellStyle name="40% - Accent4 2 7 2" xfId="1384" xr:uid="{00000000-0005-0000-0000-000068050000}"/>
    <cellStyle name="40% - Accent4 2 7 2 2" xfId="1385" xr:uid="{00000000-0005-0000-0000-000069050000}"/>
    <cellStyle name="40% - Accent4 2 7 3" xfId="1386" xr:uid="{00000000-0005-0000-0000-00006A050000}"/>
    <cellStyle name="40% - Accent4 2 8" xfId="1387" xr:uid="{00000000-0005-0000-0000-00006B050000}"/>
    <cellStyle name="40% - Accent4 2 8 2" xfId="1388" xr:uid="{00000000-0005-0000-0000-00006C050000}"/>
    <cellStyle name="40% - Accent4 2 8 2 2" xfId="1389" xr:uid="{00000000-0005-0000-0000-00006D050000}"/>
    <cellStyle name="40% - Accent4 2 8 2 2 2" xfId="1390" xr:uid="{00000000-0005-0000-0000-00006E050000}"/>
    <cellStyle name="40% - Accent4 2 8 2 3" xfId="1391" xr:uid="{00000000-0005-0000-0000-00006F050000}"/>
    <cellStyle name="40% - Accent4 2 8 3" xfId="1392" xr:uid="{00000000-0005-0000-0000-000070050000}"/>
    <cellStyle name="40% - Accent4 2 8 3 2" xfId="1393" xr:uid="{00000000-0005-0000-0000-000071050000}"/>
    <cellStyle name="40% - Accent4 2 8 4" xfId="1394" xr:uid="{00000000-0005-0000-0000-000072050000}"/>
    <cellStyle name="40% - Accent4 2 9" xfId="1395" xr:uid="{00000000-0005-0000-0000-000073050000}"/>
    <cellStyle name="40% - Accent4 2 9 2" xfId="1396" xr:uid="{00000000-0005-0000-0000-000074050000}"/>
    <cellStyle name="40% - Accent4 3" xfId="1397" xr:uid="{00000000-0005-0000-0000-000075050000}"/>
    <cellStyle name="40% - Accent4 3 2" xfId="1398" xr:uid="{00000000-0005-0000-0000-000076050000}"/>
    <cellStyle name="40% - Accent4 3 2 2" xfId="1399" xr:uid="{00000000-0005-0000-0000-000077050000}"/>
    <cellStyle name="40% - Accent4 3 2 2 2" xfId="1400" xr:uid="{00000000-0005-0000-0000-000078050000}"/>
    <cellStyle name="40% - Accent4 3 2 3" xfId="1401" xr:uid="{00000000-0005-0000-0000-000079050000}"/>
    <cellStyle name="40% - Accent4 3 3" xfId="1402" xr:uid="{00000000-0005-0000-0000-00007A050000}"/>
    <cellStyle name="40% - Accent4 3 3 2" xfId="1403" xr:uid="{00000000-0005-0000-0000-00007B050000}"/>
    <cellStyle name="40% - Accent4 3 4" xfId="1404" xr:uid="{00000000-0005-0000-0000-00007C050000}"/>
    <cellStyle name="40% - Accent4 3 4 2" xfId="1405" xr:uid="{00000000-0005-0000-0000-00007D050000}"/>
    <cellStyle name="40% - Accent4 3 4 2 2" xfId="1406" xr:uid="{00000000-0005-0000-0000-00007E050000}"/>
    <cellStyle name="40% - Accent4 3 4 3" xfId="1407" xr:uid="{00000000-0005-0000-0000-00007F050000}"/>
    <cellStyle name="40% - Accent4 3 5" xfId="1408" xr:uid="{00000000-0005-0000-0000-000080050000}"/>
    <cellStyle name="40% - Accent4 4" xfId="1409" xr:uid="{00000000-0005-0000-0000-000081050000}"/>
    <cellStyle name="40% - Accent4 4 2" xfId="1410" xr:uid="{00000000-0005-0000-0000-000082050000}"/>
    <cellStyle name="40% - Accent4 4 2 2" xfId="1411" xr:uid="{00000000-0005-0000-0000-000083050000}"/>
    <cellStyle name="40% - Accent4 4 3" xfId="1412" xr:uid="{00000000-0005-0000-0000-000084050000}"/>
    <cellStyle name="40% - Accent4 4 3 2" xfId="1413" xr:uid="{00000000-0005-0000-0000-000085050000}"/>
    <cellStyle name="40% - Accent4 4 3 2 2" xfId="1414" xr:uid="{00000000-0005-0000-0000-000086050000}"/>
    <cellStyle name="40% - Accent4 4 3 3" xfId="1415" xr:uid="{00000000-0005-0000-0000-000087050000}"/>
    <cellStyle name="40% - Accent4 4 4" xfId="1416" xr:uid="{00000000-0005-0000-0000-000088050000}"/>
    <cellStyle name="40% - Accent4 5" xfId="1417" xr:uid="{00000000-0005-0000-0000-000089050000}"/>
    <cellStyle name="40% - Accent4 5 2" xfId="1418" xr:uid="{00000000-0005-0000-0000-00008A050000}"/>
    <cellStyle name="40% - Accent4 5 2 2" xfId="1419" xr:uid="{00000000-0005-0000-0000-00008B050000}"/>
    <cellStyle name="40% - Accent4 5 2 2 2" xfId="1420" xr:uid="{00000000-0005-0000-0000-00008C050000}"/>
    <cellStyle name="40% - Accent4 5 2 3" xfId="1421" xr:uid="{00000000-0005-0000-0000-00008D050000}"/>
    <cellStyle name="40% - Accent4 5 3" xfId="1422" xr:uid="{00000000-0005-0000-0000-00008E050000}"/>
    <cellStyle name="40% - Accent4 5 3 2" xfId="1423" xr:uid="{00000000-0005-0000-0000-00008F050000}"/>
    <cellStyle name="40% - Accent4 5 3 2 2" xfId="1424" xr:uid="{00000000-0005-0000-0000-000090050000}"/>
    <cellStyle name="40% - Accent4 5 3 2 2 2" xfId="1425" xr:uid="{00000000-0005-0000-0000-000091050000}"/>
    <cellStyle name="40% - Accent4 5 3 2 3" xfId="1426" xr:uid="{00000000-0005-0000-0000-000092050000}"/>
    <cellStyle name="40% - Accent4 5 3 3" xfId="1427" xr:uid="{00000000-0005-0000-0000-000093050000}"/>
    <cellStyle name="40% - Accent4 5 3 3 2" xfId="1428" xr:uid="{00000000-0005-0000-0000-000094050000}"/>
    <cellStyle name="40% - Accent4 5 3 4" xfId="1429" xr:uid="{00000000-0005-0000-0000-000095050000}"/>
    <cellStyle name="40% - Accent4 5 4" xfId="1430" xr:uid="{00000000-0005-0000-0000-000096050000}"/>
    <cellStyle name="40% - Accent4 5 4 2" xfId="1431" xr:uid="{00000000-0005-0000-0000-000097050000}"/>
    <cellStyle name="40% - Accent4 5 5" xfId="1432" xr:uid="{00000000-0005-0000-0000-000098050000}"/>
    <cellStyle name="40% - Accent4 6" xfId="1433" xr:uid="{00000000-0005-0000-0000-000099050000}"/>
    <cellStyle name="40% - Accent4 6 2" xfId="1434" xr:uid="{00000000-0005-0000-0000-00009A050000}"/>
    <cellStyle name="40% - Accent4 6 2 2" xfId="1435" xr:uid="{00000000-0005-0000-0000-00009B050000}"/>
    <cellStyle name="40% - Accent4 6 2 2 2" xfId="1436" xr:uid="{00000000-0005-0000-0000-00009C050000}"/>
    <cellStyle name="40% - Accent4 6 2 3" xfId="1437" xr:uid="{00000000-0005-0000-0000-00009D050000}"/>
    <cellStyle name="40% - Accent4 6 3" xfId="1438" xr:uid="{00000000-0005-0000-0000-00009E050000}"/>
    <cellStyle name="40% - Accent4 6 3 2" xfId="1439" xr:uid="{00000000-0005-0000-0000-00009F050000}"/>
    <cellStyle name="40% - Accent4 6 4" xfId="1440" xr:uid="{00000000-0005-0000-0000-0000A0050000}"/>
    <cellStyle name="40% - Accent4 7" xfId="1441" xr:uid="{00000000-0005-0000-0000-0000A1050000}"/>
    <cellStyle name="40% - Accent4 8" xfId="1442" xr:uid="{00000000-0005-0000-0000-0000A2050000}"/>
    <cellStyle name="40% - Accent5 2" xfId="1443" xr:uid="{00000000-0005-0000-0000-0000A3050000}"/>
    <cellStyle name="40% - Accent5 2 10" xfId="1444" xr:uid="{00000000-0005-0000-0000-0000A4050000}"/>
    <cellStyle name="40% - Accent5 2 10 2" xfId="1445" xr:uid="{00000000-0005-0000-0000-0000A5050000}"/>
    <cellStyle name="40% - Accent5 2 11" xfId="1446" xr:uid="{00000000-0005-0000-0000-0000A6050000}"/>
    <cellStyle name="40% - Accent5 2 2" xfId="1447" xr:uid="{00000000-0005-0000-0000-0000A7050000}"/>
    <cellStyle name="40% - Accent5 2 2 2" xfId="1448" xr:uid="{00000000-0005-0000-0000-0000A8050000}"/>
    <cellStyle name="40% - Accent5 2 2 2 2" xfId="1449" xr:uid="{00000000-0005-0000-0000-0000A9050000}"/>
    <cellStyle name="40% - Accent5 2 2 2 2 2" xfId="1450" xr:uid="{00000000-0005-0000-0000-0000AA050000}"/>
    <cellStyle name="40% - Accent5 2 2 2 3" xfId="1451" xr:uid="{00000000-0005-0000-0000-0000AB050000}"/>
    <cellStyle name="40% - Accent5 2 2 2 3 2" xfId="1452" xr:uid="{00000000-0005-0000-0000-0000AC050000}"/>
    <cellStyle name="40% - Accent5 2 2 2 3 2 2" xfId="1453" xr:uid="{00000000-0005-0000-0000-0000AD050000}"/>
    <cellStyle name="40% - Accent5 2 2 2 3 3" xfId="1454" xr:uid="{00000000-0005-0000-0000-0000AE050000}"/>
    <cellStyle name="40% - Accent5 2 2 2 4" xfId="1455" xr:uid="{00000000-0005-0000-0000-0000AF050000}"/>
    <cellStyle name="40% - Accent5 2 2 3" xfId="1456" xr:uid="{00000000-0005-0000-0000-0000B0050000}"/>
    <cellStyle name="40% - Accent5 2 2 3 2" xfId="1457" xr:uid="{00000000-0005-0000-0000-0000B1050000}"/>
    <cellStyle name="40% - Accent5 2 2 3 2 2" xfId="1458" xr:uid="{00000000-0005-0000-0000-0000B2050000}"/>
    <cellStyle name="40% - Accent5 2 2 3 3" xfId="1459" xr:uid="{00000000-0005-0000-0000-0000B3050000}"/>
    <cellStyle name="40% - Accent5 2 2 4" xfId="1460" xr:uid="{00000000-0005-0000-0000-0000B4050000}"/>
    <cellStyle name="40% - Accent5 2 2 4 2" xfId="1461" xr:uid="{00000000-0005-0000-0000-0000B5050000}"/>
    <cellStyle name="40% - Accent5 2 2 4 2 2" xfId="1462" xr:uid="{00000000-0005-0000-0000-0000B6050000}"/>
    <cellStyle name="40% - Accent5 2 2 4 2 2 2" xfId="1463" xr:uid="{00000000-0005-0000-0000-0000B7050000}"/>
    <cellStyle name="40% - Accent5 2 2 4 2 3" xfId="1464" xr:uid="{00000000-0005-0000-0000-0000B8050000}"/>
    <cellStyle name="40% - Accent5 2 2 4 3" xfId="1465" xr:uid="{00000000-0005-0000-0000-0000B9050000}"/>
    <cellStyle name="40% - Accent5 2 2 4 3 2" xfId="1466" xr:uid="{00000000-0005-0000-0000-0000BA050000}"/>
    <cellStyle name="40% - Accent5 2 2 4 4" xfId="1467" xr:uid="{00000000-0005-0000-0000-0000BB050000}"/>
    <cellStyle name="40% - Accent5 2 2 5" xfId="1468" xr:uid="{00000000-0005-0000-0000-0000BC050000}"/>
    <cellStyle name="40% - Accent5 2 2 5 2" xfId="1469" xr:uid="{00000000-0005-0000-0000-0000BD050000}"/>
    <cellStyle name="40% - Accent5 2 2 6" xfId="1470" xr:uid="{00000000-0005-0000-0000-0000BE050000}"/>
    <cellStyle name="40% - Accent5 2 3" xfId="1471" xr:uid="{00000000-0005-0000-0000-0000BF050000}"/>
    <cellStyle name="40% - Accent5 2 3 2" xfId="1472" xr:uid="{00000000-0005-0000-0000-0000C0050000}"/>
    <cellStyle name="40% - Accent5 2 3 2 2" xfId="1473" xr:uid="{00000000-0005-0000-0000-0000C1050000}"/>
    <cellStyle name="40% - Accent5 2 3 2 2 2" xfId="1474" xr:uid="{00000000-0005-0000-0000-0000C2050000}"/>
    <cellStyle name="40% - Accent5 2 3 2 3" xfId="1475" xr:uid="{00000000-0005-0000-0000-0000C3050000}"/>
    <cellStyle name="40% - Accent5 2 3 3" xfId="1476" xr:uid="{00000000-0005-0000-0000-0000C4050000}"/>
    <cellStyle name="40% - Accent5 2 3 3 2" xfId="1477" xr:uid="{00000000-0005-0000-0000-0000C5050000}"/>
    <cellStyle name="40% - Accent5 2 3 3 2 2" xfId="1478" xr:uid="{00000000-0005-0000-0000-0000C6050000}"/>
    <cellStyle name="40% - Accent5 2 3 3 2 2 2" xfId="1479" xr:uid="{00000000-0005-0000-0000-0000C7050000}"/>
    <cellStyle name="40% - Accent5 2 3 3 2 3" xfId="1480" xr:uid="{00000000-0005-0000-0000-0000C8050000}"/>
    <cellStyle name="40% - Accent5 2 3 3 3" xfId="1481" xr:uid="{00000000-0005-0000-0000-0000C9050000}"/>
    <cellStyle name="40% - Accent5 2 3 3 3 2" xfId="1482" xr:uid="{00000000-0005-0000-0000-0000CA050000}"/>
    <cellStyle name="40% - Accent5 2 3 3 4" xfId="1483" xr:uid="{00000000-0005-0000-0000-0000CB050000}"/>
    <cellStyle name="40% - Accent5 2 3 4" xfId="1484" xr:uid="{00000000-0005-0000-0000-0000CC050000}"/>
    <cellStyle name="40% - Accent5 2 3 4 2" xfId="1485" xr:uid="{00000000-0005-0000-0000-0000CD050000}"/>
    <cellStyle name="40% - Accent5 2 3 5" xfId="1486" xr:uid="{00000000-0005-0000-0000-0000CE050000}"/>
    <cellStyle name="40% - Accent5 2 4" xfId="1487" xr:uid="{00000000-0005-0000-0000-0000CF050000}"/>
    <cellStyle name="40% - Accent5 2 4 2" xfId="1488" xr:uid="{00000000-0005-0000-0000-0000D0050000}"/>
    <cellStyle name="40% - Accent5 2 4 2 2" xfId="1489" xr:uid="{00000000-0005-0000-0000-0000D1050000}"/>
    <cellStyle name="40% - Accent5 2 4 2 2 2" xfId="1490" xr:uid="{00000000-0005-0000-0000-0000D2050000}"/>
    <cellStyle name="40% - Accent5 2 4 2 3" xfId="1491" xr:uid="{00000000-0005-0000-0000-0000D3050000}"/>
    <cellStyle name="40% - Accent5 2 4 3" xfId="1492" xr:uid="{00000000-0005-0000-0000-0000D4050000}"/>
    <cellStyle name="40% - Accent5 2 4 3 2" xfId="1493" xr:uid="{00000000-0005-0000-0000-0000D5050000}"/>
    <cellStyle name="40% - Accent5 2 4 4" xfId="1494" xr:uid="{00000000-0005-0000-0000-0000D6050000}"/>
    <cellStyle name="40% - Accent5 2 5" xfId="1495" xr:uid="{00000000-0005-0000-0000-0000D7050000}"/>
    <cellStyle name="40% - Accent5 2 5 2" xfId="1496" xr:uid="{00000000-0005-0000-0000-0000D8050000}"/>
    <cellStyle name="40% - Accent5 2 5 2 2" xfId="1497" xr:uid="{00000000-0005-0000-0000-0000D9050000}"/>
    <cellStyle name="40% - Accent5 2 5 2 2 2" xfId="1498" xr:uid="{00000000-0005-0000-0000-0000DA050000}"/>
    <cellStyle name="40% - Accent5 2 5 2 3" xfId="1499" xr:uid="{00000000-0005-0000-0000-0000DB050000}"/>
    <cellStyle name="40% - Accent5 2 5 3" xfId="1500" xr:uid="{00000000-0005-0000-0000-0000DC050000}"/>
    <cellStyle name="40% - Accent5 2 5 3 2" xfId="1501" xr:uid="{00000000-0005-0000-0000-0000DD050000}"/>
    <cellStyle name="40% - Accent5 2 5 3 2 2" xfId="1502" xr:uid="{00000000-0005-0000-0000-0000DE050000}"/>
    <cellStyle name="40% - Accent5 2 5 3 2 2 2" xfId="1503" xr:uid="{00000000-0005-0000-0000-0000DF050000}"/>
    <cellStyle name="40% - Accent5 2 5 3 2 3" xfId="1504" xr:uid="{00000000-0005-0000-0000-0000E0050000}"/>
    <cellStyle name="40% - Accent5 2 5 3 3" xfId="1505" xr:uid="{00000000-0005-0000-0000-0000E1050000}"/>
    <cellStyle name="40% - Accent5 2 5 3 3 2" xfId="1506" xr:uid="{00000000-0005-0000-0000-0000E2050000}"/>
    <cellStyle name="40% - Accent5 2 5 3 4" xfId="1507" xr:uid="{00000000-0005-0000-0000-0000E3050000}"/>
    <cellStyle name="40% - Accent5 2 5 4" xfId="1508" xr:uid="{00000000-0005-0000-0000-0000E4050000}"/>
    <cellStyle name="40% - Accent5 2 5 4 2" xfId="1509" xr:uid="{00000000-0005-0000-0000-0000E5050000}"/>
    <cellStyle name="40% - Accent5 2 5 5" xfId="1510" xr:uid="{00000000-0005-0000-0000-0000E6050000}"/>
    <cellStyle name="40% - Accent5 2 6" xfId="1511" xr:uid="{00000000-0005-0000-0000-0000E7050000}"/>
    <cellStyle name="40% - Accent5 2 6 2" xfId="1512" xr:uid="{00000000-0005-0000-0000-0000E8050000}"/>
    <cellStyle name="40% - Accent5 2 6 2 2" xfId="1513" xr:uid="{00000000-0005-0000-0000-0000E9050000}"/>
    <cellStyle name="40% - Accent5 2 6 3" xfId="1514" xr:uid="{00000000-0005-0000-0000-0000EA050000}"/>
    <cellStyle name="40% - Accent5 2 7" xfId="1515" xr:uid="{00000000-0005-0000-0000-0000EB050000}"/>
    <cellStyle name="40% - Accent5 2 7 2" xfId="1516" xr:uid="{00000000-0005-0000-0000-0000EC050000}"/>
    <cellStyle name="40% - Accent5 2 7 2 2" xfId="1517" xr:uid="{00000000-0005-0000-0000-0000ED050000}"/>
    <cellStyle name="40% - Accent5 2 7 3" xfId="1518" xr:uid="{00000000-0005-0000-0000-0000EE050000}"/>
    <cellStyle name="40% - Accent5 2 8" xfId="1519" xr:uid="{00000000-0005-0000-0000-0000EF050000}"/>
    <cellStyle name="40% - Accent5 2 8 2" xfId="1520" xr:uid="{00000000-0005-0000-0000-0000F0050000}"/>
    <cellStyle name="40% - Accent5 2 8 2 2" xfId="1521" xr:uid="{00000000-0005-0000-0000-0000F1050000}"/>
    <cellStyle name="40% - Accent5 2 8 2 2 2" xfId="1522" xr:uid="{00000000-0005-0000-0000-0000F2050000}"/>
    <cellStyle name="40% - Accent5 2 8 2 3" xfId="1523" xr:uid="{00000000-0005-0000-0000-0000F3050000}"/>
    <cellStyle name="40% - Accent5 2 8 3" xfId="1524" xr:uid="{00000000-0005-0000-0000-0000F4050000}"/>
    <cellStyle name="40% - Accent5 2 8 3 2" xfId="1525" xr:uid="{00000000-0005-0000-0000-0000F5050000}"/>
    <cellStyle name="40% - Accent5 2 8 4" xfId="1526" xr:uid="{00000000-0005-0000-0000-0000F6050000}"/>
    <cellStyle name="40% - Accent5 2 9" xfId="1527" xr:uid="{00000000-0005-0000-0000-0000F7050000}"/>
    <cellStyle name="40% - Accent5 2 9 2" xfId="1528" xr:uid="{00000000-0005-0000-0000-0000F8050000}"/>
    <cellStyle name="40% - Accent5 3" xfId="1529" xr:uid="{00000000-0005-0000-0000-0000F9050000}"/>
    <cellStyle name="40% - Accent5 3 2" xfId="1530" xr:uid="{00000000-0005-0000-0000-0000FA050000}"/>
    <cellStyle name="40% - Accent5 3 2 2" xfId="1531" xr:uid="{00000000-0005-0000-0000-0000FB050000}"/>
    <cellStyle name="40% - Accent5 3 2 2 2" xfId="1532" xr:uid="{00000000-0005-0000-0000-0000FC050000}"/>
    <cellStyle name="40% - Accent5 3 2 3" xfId="1533" xr:uid="{00000000-0005-0000-0000-0000FD050000}"/>
    <cellStyle name="40% - Accent5 3 3" xfId="1534" xr:uid="{00000000-0005-0000-0000-0000FE050000}"/>
    <cellStyle name="40% - Accent5 3 3 2" xfId="1535" xr:uid="{00000000-0005-0000-0000-0000FF050000}"/>
    <cellStyle name="40% - Accent5 3 4" xfId="1536" xr:uid="{00000000-0005-0000-0000-000000060000}"/>
    <cellStyle name="40% - Accent5 3 4 2" xfId="1537" xr:uid="{00000000-0005-0000-0000-000001060000}"/>
    <cellStyle name="40% - Accent5 3 4 2 2" xfId="1538" xr:uid="{00000000-0005-0000-0000-000002060000}"/>
    <cellStyle name="40% - Accent5 3 4 3" xfId="1539" xr:uid="{00000000-0005-0000-0000-000003060000}"/>
    <cellStyle name="40% - Accent5 3 5" xfId="1540" xr:uid="{00000000-0005-0000-0000-000004060000}"/>
    <cellStyle name="40% - Accent5 4" xfId="1541" xr:uid="{00000000-0005-0000-0000-000005060000}"/>
    <cellStyle name="40% - Accent5 4 2" xfId="1542" xr:uid="{00000000-0005-0000-0000-000006060000}"/>
    <cellStyle name="40% - Accent5 4 2 2" xfId="1543" xr:uid="{00000000-0005-0000-0000-000007060000}"/>
    <cellStyle name="40% - Accent5 4 3" xfId="1544" xr:uid="{00000000-0005-0000-0000-000008060000}"/>
    <cellStyle name="40% - Accent5 4 3 2" xfId="1545" xr:uid="{00000000-0005-0000-0000-000009060000}"/>
    <cellStyle name="40% - Accent5 4 3 2 2" xfId="1546" xr:uid="{00000000-0005-0000-0000-00000A060000}"/>
    <cellStyle name="40% - Accent5 4 3 3" xfId="1547" xr:uid="{00000000-0005-0000-0000-00000B060000}"/>
    <cellStyle name="40% - Accent5 4 4" xfId="1548" xr:uid="{00000000-0005-0000-0000-00000C060000}"/>
    <cellStyle name="40% - Accent5 5" xfId="1549" xr:uid="{00000000-0005-0000-0000-00000D060000}"/>
    <cellStyle name="40% - Accent5 5 2" xfId="1550" xr:uid="{00000000-0005-0000-0000-00000E060000}"/>
    <cellStyle name="40% - Accent5 5 2 2" xfId="1551" xr:uid="{00000000-0005-0000-0000-00000F060000}"/>
    <cellStyle name="40% - Accent5 5 2 2 2" xfId="1552" xr:uid="{00000000-0005-0000-0000-000010060000}"/>
    <cellStyle name="40% - Accent5 5 2 3" xfId="1553" xr:uid="{00000000-0005-0000-0000-000011060000}"/>
    <cellStyle name="40% - Accent5 5 3" xfId="1554" xr:uid="{00000000-0005-0000-0000-000012060000}"/>
    <cellStyle name="40% - Accent5 5 3 2" xfId="1555" xr:uid="{00000000-0005-0000-0000-000013060000}"/>
    <cellStyle name="40% - Accent5 5 3 2 2" xfId="1556" xr:uid="{00000000-0005-0000-0000-000014060000}"/>
    <cellStyle name="40% - Accent5 5 3 2 2 2" xfId="1557" xr:uid="{00000000-0005-0000-0000-000015060000}"/>
    <cellStyle name="40% - Accent5 5 3 2 3" xfId="1558" xr:uid="{00000000-0005-0000-0000-000016060000}"/>
    <cellStyle name="40% - Accent5 5 3 3" xfId="1559" xr:uid="{00000000-0005-0000-0000-000017060000}"/>
    <cellStyle name="40% - Accent5 5 3 3 2" xfId="1560" xr:uid="{00000000-0005-0000-0000-000018060000}"/>
    <cellStyle name="40% - Accent5 5 3 4" xfId="1561" xr:uid="{00000000-0005-0000-0000-000019060000}"/>
    <cellStyle name="40% - Accent5 5 4" xfId="1562" xr:uid="{00000000-0005-0000-0000-00001A060000}"/>
    <cellStyle name="40% - Accent5 5 4 2" xfId="1563" xr:uid="{00000000-0005-0000-0000-00001B060000}"/>
    <cellStyle name="40% - Accent5 5 5" xfId="1564" xr:uid="{00000000-0005-0000-0000-00001C060000}"/>
    <cellStyle name="40% - Accent5 6" xfId="1565" xr:uid="{00000000-0005-0000-0000-00001D060000}"/>
    <cellStyle name="40% - Accent5 6 2" xfId="1566" xr:uid="{00000000-0005-0000-0000-00001E060000}"/>
    <cellStyle name="40% - Accent5 6 2 2" xfId="1567" xr:uid="{00000000-0005-0000-0000-00001F060000}"/>
    <cellStyle name="40% - Accent5 6 2 2 2" xfId="1568" xr:uid="{00000000-0005-0000-0000-000020060000}"/>
    <cellStyle name="40% - Accent5 6 2 3" xfId="1569" xr:uid="{00000000-0005-0000-0000-000021060000}"/>
    <cellStyle name="40% - Accent5 6 3" xfId="1570" xr:uid="{00000000-0005-0000-0000-000022060000}"/>
    <cellStyle name="40% - Accent5 6 3 2" xfId="1571" xr:uid="{00000000-0005-0000-0000-000023060000}"/>
    <cellStyle name="40% - Accent5 6 4" xfId="1572" xr:uid="{00000000-0005-0000-0000-000024060000}"/>
    <cellStyle name="40% - Accent5 7" xfId="1573" xr:uid="{00000000-0005-0000-0000-000025060000}"/>
    <cellStyle name="40% - Accent5 8" xfId="1574" xr:uid="{00000000-0005-0000-0000-000026060000}"/>
    <cellStyle name="40% - Accent6 2" xfId="1575" xr:uid="{00000000-0005-0000-0000-000027060000}"/>
    <cellStyle name="40% - Accent6 2 10" xfId="1576" xr:uid="{00000000-0005-0000-0000-000028060000}"/>
    <cellStyle name="40% - Accent6 2 10 2" xfId="1577" xr:uid="{00000000-0005-0000-0000-000029060000}"/>
    <cellStyle name="40% - Accent6 2 11" xfId="1578" xr:uid="{00000000-0005-0000-0000-00002A060000}"/>
    <cellStyle name="40% - Accent6 2 2" xfId="1579" xr:uid="{00000000-0005-0000-0000-00002B060000}"/>
    <cellStyle name="40% - Accent6 2 2 2" xfId="1580" xr:uid="{00000000-0005-0000-0000-00002C060000}"/>
    <cellStyle name="40% - Accent6 2 2 2 2" xfId="1581" xr:uid="{00000000-0005-0000-0000-00002D060000}"/>
    <cellStyle name="40% - Accent6 2 2 2 2 2" xfId="1582" xr:uid="{00000000-0005-0000-0000-00002E060000}"/>
    <cellStyle name="40% - Accent6 2 2 2 3" xfId="1583" xr:uid="{00000000-0005-0000-0000-00002F060000}"/>
    <cellStyle name="40% - Accent6 2 2 2 3 2" xfId="1584" xr:uid="{00000000-0005-0000-0000-000030060000}"/>
    <cellStyle name="40% - Accent6 2 2 2 3 2 2" xfId="1585" xr:uid="{00000000-0005-0000-0000-000031060000}"/>
    <cellStyle name="40% - Accent6 2 2 2 3 3" xfId="1586" xr:uid="{00000000-0005-0000-0000-000032060000}"/>
    <cellStyle name="40% - Accent6 2 2 2 4" xfId="1587" xr:uid="{00000000-0005-0000-0000-000033060000}"/>
    <cellStyle name="40% - Accent6 2 2 3" xfId="1588" xr:uid="{00000000-0005-0000-0000-000034060000}"/>
    <cellStyle name="40% - Accent6 2 2 3 2" xfId="1589" xr:uid="{00000000-0005-0000-0000-000035060000}"/>
    <cellStyle name="40% - Accent6 2 2 3 2 2" xfId="1590" xr:uid="{00000000-0005-0000-0000-000036060000}"/>
    <cellStyle name="40% - Accent6 2 2 3 3" xfId="1591" xr:uid="{00000000-0005-0000-0000-000037060000}"/>
    <cellStyle name="40% - Accent6 2 2 4" xfId="1592" xr:uid="{00000000-0005-0000-0000-000038060000}"/>
    <cellStyle name="40% - Accent6 2 2 4 2" xfId="1593" xr:uid="{00000000-0005-0000-0000-000039060000}"/>
    <cellStyle name="40% - Accent6 2 2 4 2 2" xfId="1594" xr:uid="{00000000-0005-0000-0000-00003A060000}"/>
    <cellStyle name="40% - Accent6 2 2 4 2 2 2" xfId="1595" xr:uid="{00000000-0005-0000-0000-00003B060000}"/>
    <cellStyle name="40% - Accent6 2 2 4 2 3" xfId="1596" xr:uid="{00000000-0005-0000-0000-00003C060000}"/>
    <cellStyle name="40% - Accent6 2 2 4 3" xfId="1597" xr:uid="{00000000-0005-0000-0000-00003D060000}"/>
    <cellStyle name="40% - Accent6 2 2 4 3 2" xfId="1598" xr:uid="{00000000-0005-0000-0000-00003E060000}"/>
    <cellStyle name="40% - Accent6 2 2 4 4" xfId="1599" xr:uid="{00000000-0005-0000-0000-00003F060000}"/>
    <cellStyle name="40% - Accent6 2 2 5" xfId="1600" xr:uid="{00000000-0005-0000-0000-000040060000}"/>
    <cellStyle name="40% - Accent6 2 2 5 2" xfId="1601" xr:uid="{00000000-0005-0000-0000-000041060000}"/>
    <cellStyle name="40% - Accent6 2 2 6" xfId="1602" xr:uid="{00000000-0005-0000-0000-000042060000}"/>
    <cellStyle name="40% - Accent6 2 3" xfId="1603" xr:uid="{00000000-0005-0000-0000-000043060000}"/>
    <cellStyle name="40% - Accent6 2 3 2" xfId="1604" xr:uid="{00000000-0005-0000-0000-000044060000}"/>
    <cellStyle name="40% - Accent6 2 3 2 2" xfId="1605" xr:uid="{00000000-0005-0000-0000-000045060000}"/>
    <cellStyle name="40% - Accent6 2 3 2 2 2" xfId="1606" xr:uid="{00000000-0005-0000-0000-000046060000}"/>
    <cellStyle name="40% - Accent6 2 3 2 3" xfId="1607" xr:uid="{00000000-0005-0000-0000-000047060000}"/>
    <cellStyle name="40% - Accent6 2 3 3" xfId="1608" xr:uid="{00000000-0005-0000-0000-000048060000}"/>
    <cellStyle name="40% - Accent6 2 3 3 2" xfId="1609" xr:uid="{00000000-0005-0000-0000-000049060000}"/>
    <cellStyle name="40% - Accent6 2 3 3 2 2" xfId="1610" xr:uid="{00000000-0005-0000-0000-00004A060000}"/>
    <cellStyle name="40% - Accent6 2 3 3 2 2 2" xfId="1611" xr:uid="{00000000-0005-0000-0000-00004B060000}"/>
    <cellStyle name="40% - Accent6 2 3 3 2 3" xfId="1612" xr:uid="{00000000-0005-0000-0000-00004C060000}"/>
    <cellStyle name="40% - Accent6 2 3 3 3" xfId="1613" xr:uid="{00000000-0005-0000-0000-00004D060000}"/>
    <cellStyle name="40% - Accent6 2 3 3 3 2" xfId="1614" xr:uid="{00000000-0005-0000-0000-00004E060000}"/>
    <cellStyle name="40% - Accent6 2 3 3 4" xfId="1615" xr:uid="{00000000-0005-0000-0000-00004F060000}"/>
    <cellStyle name="40% - Accent6 2 3 4" xfId="1616" xr:uid="{00000000-0005-0000-0000-000050060000}"/>
    <cellStyle name="40% - Accent6 2 3 4 2" xfId="1617" xr:uid="{00000000-0005-0000-0000-000051060000}"/>
    <cellStyle name="40% - Accent6 2 3 5" xfId="1618" xr:uid="{00000000-0005-0000-0000-000052060000}"/>
    <cellStyle name="40% - Accent6 2 4" xfId="1619" xr:uid="{00000000-0005-0000-0000-000053060000}"/>
    <cellStyle name="40% - Accent6 2 4 2" xfId="1620" xr:uid="{00000000-0005-0000-0000-000054060000}"/>
    <cellStyle name="40% - Accent6 2 4 2 2" xfId="1621" xr:uid="{00000000-0005-0000-0000-000055060000}"/>
    <cellStyle name="40% - Accent6 2 4 2 2 2" xfId="1622" xr:uid="{00000000-0005-0000-0000-000056060000}"/>
    <cellStyle name="40% - Accent6 2 4 2 3" xfId="1623" xr:uid="{00000000-0005-0000-0000-000057060000}"/>
    <cellStyle name="40% - Accent6 2 4 3" xfId="1624" xr:uid="{00000000-0005-0000-0000-000058060000}"/>
    <cellStyle name="40% - Accent6 2 4 3 2" xfId="1625" xr:uid="{00000000-0005-0000-0000-000059060000}"/>
    <cellStyle name="40% - Accent6 2 4 4" xfId="1626" xr:uid="{00000000-0005-0000-0000-00005A060000}"/>
    <cellStyle name="40% - Accent6 2 5" xfId="1627" xr:uid="{00000000-0005-0000-0000-00005B060000}"/>
    <cellStyle name="40% - Accent6 2 5 2" xfId="1628" xr:uid="{00000000-0005-0000-0000-00005C060000}"/>
    <cellStyle name="40% - Accent6 2 5 2 2" xfId="1629" xr:uid="{00000000-0005-0000-0000-00005D060000}"/>
    <cellStyle name="40% - Accent6 2 5 2 2 2" xfId="1630" xr:uid="{00000000-0005-0000-0000-00005E060000}"/>
    <cellStyle name="40% - Accent6 2 5 2 3" xfId="1631" xr:uid="{00000000-0005-0000-0000-00005F060000}"/>
    <cellStyle name="40% - Accent6 2 5 3" xfId="1632" xr:uid="{00000000-0005-0000-0000-000060060000}"/>
    <cellStyle name="40% - Accent6 2 5 3 2" xfId="1633" xr:uid="{00000000-0005-0000-0000-000061060000}"/>
    <cellStyle name="40% - Accent6 2 5 3 2 2" xfId="1634" xr:uid="{00000000-0005-0000-0000-000062060000}"/>
    <cellStyle name="40% - Accent6 2 5 3 2 2 2" xfId="1635" xr:uid="{00000000-0005-0000-0000-000063060000}"/>
    <cellStyle name="40% - Accent6 2 5 3 2 3" xfId="1636" xr:uid="{00000000-0005-0000-0000-000064060000}"/>
    <cellStyle name="40% - Accent6 2 5 3 3" xfId="1637" xr:uid="{00000000-0005-0000-0000-000065060000}"/>
    <cellStyle name="40% - Accent6 2 5 3 3 2" xfId="1638" xr:uid="{00000000-0005-0000-0000-000066060000}"/>
    <cellStyle name="40% - Accent6 2 5 3 4" xfId="1639" xr:uid="{00000000-0005-0000-0000-000067060000}"/>
    <cellStyle name="40% - Accent6 2 5 4" xfId="1640" xr:uid="{00000000-0005-0000-0000-000068060000}"/>
    <cellStyle name="40% - Accent6 2 5 4 2" xfId="1641" xr:uid="{00000000-0005-0000-0000-000069060000}"/>
    <cellStyle name="40% - Accent6 2 5 5" xfId="1642" xr:uid="{00000000-0005-0000-0000-00006A060000}"/>
    <cellStyle name="40% - Accent6 2 6" xfId="1643" xr:uid="{00000000-0005-0000-0000-00006B060000}"/>
    <cellStyle name="40% - Accent6 2 6 2" xfId="1644" xr:uid="{00000000-0005-0000-0000-00006C060000}"/>
    <cellStyle name="40% - Accent6 2 6 2 2" xfId="1645" xr:uid="{00000000-0005-0000-0000-00006D060000}"/>
    <cellStyle name="40% - Accent6 2 6 3" xfId="1646" xr:uid="{00000000-0005-0000-0000-00006E060000}"/>
    <cellStyle name="40% - Accent6 2 7" xfId="1647" xr:uid="{00000000-0005-0000-0000-00006F060000}"/>
    <cellStyle name="40% - Accent6 2 7 2" xfId="1648" xr:uid="{00000000-0005-0000-0000-000070060000}"/>
    <cellStyle name="40% - Accent6 2 7 2 2" xfId="1649" xr:uid="{00000000-0005-0000-0000-000071060000}"/>
    <cellStyle name="40% - Accent6 2 7 3" xfId="1650" xr:uid="{00000000-0005-0000-0000-000072060000}"/>
    <cellStyle name="40% - Accent6 2 8" xfId="1651" xr:uid="{00000000-0005-0000-0000-000073060000}"/>
    <cellStyle name="40% - Accent6 2 8 2" xfId="1652" xr:uid="{00000000-0005-0000-0000-000074060000}"/>
    <cellStyle name="40% - Accent6 2 8 2 2" xfId="1653" xr:uid="{00000000-0005-0000-0000-000075060000}"/>
    <cellStyle name="40% - Accent6 2 8 2 2 2" xfId="1654" xr:uid="{00000000-0005-0000-0000-000076060000}"/>
    <cellStyle name="40% - Accent6 2 8 2 3" xfId="1655" xr:uid="{00000000-0005-0000-0000-000077060000}"/>
    <cellStyle name="40% - Accent6 2 8 3" xfId="1656" xr:uid="{00000000-0005-0000-0000-000078060000}"/>
    <cellStyle name="40% - Accent6 2 8 3 2" xfId="1657" xr:uid="{00000000-0005-0000-0000-000079060000}"/>
    <cellStyle name="40% - Accent6 2 8 4" xfId="1658" xr:uid="{00000000-0005-0000-0000-00007A060000}"/>
    <cellStyle name="40% - Accent6 2 9" xfId="1659" xr:uid="{00000000-0005-0000-0000-00007B060000}"/>
    <cellStyle name="40% - Accent6 2 9 2" xfId="1660" xr:uid="{00000000-0005-0000-0000-00007C060000}"/>
    <cellStyle name="40% - Accent6 3" xfId="1661" xr:uid="{00000000-0005-0000-0000-00007D060000}"/>
    <cellStyle name="40% - Accent6 3 2" xfId="1662" xr:uid="{00000000-0005-0000-0000-00007E060000}"/>
    <cellStyle name="40% - Accent6 3 2 2" xfId="1663" xr:uid="{00000000-0005-0000-0000-00007F060000}"/>
    <cellStyle name="40% - Accent6 3 2 2 2" xfId="1664" xr:uid="{00000000-0005-0000-0000-000080060000}"/>
    <cellStyle name="40% - Accent6 3 2 3" xfId="1665" xr:uid="{00000000-0005-0000-0000-000081060000}"/>
    <cellStyle name="40% - Accent6 3 3" xfId="1666" xr:uid="{00000000-0005-0000-0000-000082060000}"/>
    <cellStyle name="40% - Accent6 3 3 2" xfId="1667" xr:uid="{00000000-0005-0000-0000-000083060000}"/>
    <cellStyle name="40% - Accent6 3 4" xfId="1668" xr:uid="{00000000-0005-0000-0000-000084060000}"/>
    <cellStyle name="40% - Accent6 3 4 2" xfId="1669" xr:uid="{00000000-0005-0000-0000-000085060000}"/>
    <cellStyle name="40% - Accent6 3 4 2 2" xfId="1670" xr:uid="{00000000-0005-0000-0000-000086060000}"/>
    <cellStyle name="40% - Accent6 3 4 3" xfId="1671" xr:uid="{00000000-0005-0000-0000-000087060000}"/>
    <cellStyle name="40% - Accent6 3 5" xfId="1672" xr:uid="{00000000-0005-0000-0000-000088060000}"/>
    <cellStyle name="40% - Accent6 4" xfId="1673" xr:uid="{00000000-0005-0000-0000-000089060000}"/>
    <cellStyle name="40% - Accent6 4 2" xfId="1674" xr:uid="{00000000-0005-0000-0000-00008A060000}"/>
    <cellStyle name="40% - Accent6 4 2 2" xfId="1675" xr:uid="{00000000-0005-0000-0000-00008B060000}"/>
    <cellStyle name="40% - Accent6 4 3" xfId="1676" xr:uid="{00000000-0005-0000-0000-00008C060000}"/>
    <cellStyle name="40% - Accent6 4 3 2" xfId="1677" xr:uid="{00000000-0005-0000-0000-00008D060000}"/>
    <cellStyle name="40% - Accent6 4 3 2 2" xfId="1678" xr:uid="{00000000-0005-0000-0000-00008E060000}"/>
    <cellStyle name="40% - Accent6 4 3 3" xfId="1679" xr:uid="{00000000-0005-0000-0000-00008F060000}"/>
    <cellStyle name="40% - Accent6 4 4" xfId="1680" xr:uid="{00000000-0005-0000-0000-000090060000}"/>
    <cellStyle name="40% - Accent6 5" xfId="1681" xr:uid="{00000000-0005-0000-0000-000091060000}"/>
    <cellStyle name="40% - Accent6 5 2" xfId="1682" xr:uid="{00000000-0005-0000-0000-000092060000}"/>
    <cellStyle name="40% - Accent6 5 2 2" xfId="1683" xr:uid="{00000000-0005-0000-0000-000093060000}"/>
    <cellStyle name="40% - Accent6 5 2 2 2" xfId="1684" xr:uid="{00000000-0005-0000-0000-000094060000}"/>
    <cellStyle name="40% - Accent6 5 2 3" xfId="1685" xr:uid="{00000000-0005-0000-0000-000095060000}"/>
    <cellStyle name="40% - Accent6 5 3" xfId="1686" xr:uid="{00000000-0005-0000-0000-000096060000}"/>
    <cellStyle name="40% - Accent6 5 3 2" xfId="1687" xr:uid="{00000000-0005-0000-0000-000097060000}"/>
    <cellStyle name="40% - Accent6 5 3 2 2" xfId="1688" xr:uid="{00000000-0005-0000-0000-000098060000}"/>
    <cellStyle name="40% - Accent6 5 3 2 2 2" xfId="1689" xr:uid="{00000000-0005-0000-0000-000099060000}"/>
    <cellStyle name="40% - Accent6 5 3 2 3" xfId="1690" xr:uid="{00000000-0005-0000-0000-00009A060000}"/>
    <cellStyle name="40% - Accent6 5 3 3" xfId="1691" xr:uid="{00000000-0005-0000-0000-00009B060000}"/>
    <cellStyle name="40% - Accent6 5 3 3 2" xfId="1692" xr:uid="{00000000-0005-0000-0000-00009C060000}"/>
    <cellStyle name="40% - Accent6 5 3 4" xfId="1693" xr:uid="{00000000-0005-0000-0000-00009D060000}"/>
    <cellStyle name="40% - Accent6 5 4" xfId="1694" xr:uid="{00000000-0005-0000-0000-00009E060000}"/>
    <cellStyle name="40% - Accent6 5 4 2" xfId="1695" xr:uid="{00000000-0005-0000-0000-00009F060000}"/>
    <cellStyle name="40% - Accent6 5 5" xfId="1696" xr:uid="{00000000-0005-0000-0000-0000A0060000}"/>
    <cellStyle name="40% - Accent6 6" xfId="1697" xr:uid="{00000000-0005-0000-0000-0000A1060000}"/>
    <cellStyle name="40% - Accent6 6 2" xfId="1698" xr:uid="{00000000-0005-0000-0000-0000A2060000}"/>
    <cellStyle name="40% - Accent6 6 2 2" xfId="1699" xr:uid="{00000000-0005-0000-0000-0000A3060000}"/>
    <cellStyle name="40% - Accent6 6 2 2 2" xfId="1700" xr:uid="{00000000-0005-0000-0000-0000A4060000}"/>
    <cellStyle name="40% - Accent6 6 2 3" xfId="1701" xr:uid="{00000000-0005-0000-0000-0000A5060000}"/>
    <cellStyle name="40% - Accent6 6 3" xfId="1702" xr:uid="{00000000-0005-0000-0000-0000A6060000}"/>
    <cellStyle name="40% - Accent6 6 3 2" xfId="1703" xr:uid="{00000000-0005-0000-0000-0000A7060000}"/>
    <cellStyle name="40% - Accent6 6 4" xfId="1704" xr:uid="{00000000-0005-0000-0000-0000A8060000}"/>
    <cellStyle name="40% - Accent6 7" xfId="1705" xr:uid="{00000000-0005-0000-0000-0000A9060000}"/>
    <cellStyle name="40% - Accent6 8" xfId="1706" xr:uid="{00000000-0005-0000-0000-0000AA060000}"/>
    <cellStyle name="60% - Accent1 2" xfId="1707" xr:uid="{00000000-0005-0000-0000-0000AB060000}"/>
    <cellStyle name="60% - Accent1 2 10" xfId="1708" xr:uid="{00000000-0005-0000-0000-0000AC060000}"/>
    <cellStyle name="60% - Accent1 2 2" xfId="1709" xr:uid="{00000000-0005-0000-0000-0000AD060000}"/>
    <cellStyle name="60% - Accent1 2 2 2" xfId="1710" xr:uid="{00000000-0005-0000-0000-0000AE060000}"/>
    <cellStyle name="60% - Accent1 2 2 2 2" xfId="1711" xr:uid="{00000000-0005-0000-0000-0000AF060000}"/>
    <cellStyle name="60% - Accent1 2 2 3" xfId="1712" xr:uid="{00000000-0005-0000-0000-0000B0060000}"/>
    <cellStyle name="60% - Accent1 2 2 3 2" xfId="1713" xr:uid="{00000000-0005-0000-0000-0000B1060000}"/>
    <cellStyle name="60% - Accent1 2 2 3 2 2" xfId="1714" xr:uid="{00000000-0005-0000-0000-0000B2060000}"/>
    <cellStyle name="60% - Accent1 2 2 3 3" xfId="1715" xr:uid="{00000000-0005-0000-0000-0000B3060000}"/>
    <cellStyle name="60% - Accent1 2 2 4" xfId="1716" xr:uid="{00000000-0005-0000-0000-0000B4060000}"/>
    <cellStyle name="60% - Accent1 2 3" xfId="1717" xr:uid="{00000000-0005-0000-0000-0000B5060000}"/>
    <cellStyle name="60% - Accent1 2 3 2" xfId="1718" xr:uid="{00000000-0005-0000-0000-0000B6060000}"/>
    <cellStyle name="60% - Accent1 2 3 2 2" xfId="1719" xr:uid="{00000000-0005-0000-0000-0000B7060000}"/>
    <cellStyle name="60% - Accent1 2 3 3" xfId="1720" xr:uid="{00000000-0005-0000-0000-0000B8060000}"/>
    <cellStyle name="60% - Accent1 2 3 3 2" xfId="1721" xr:uid="{00000000-0005-0000-0000-0000B9060000}"/>
    <cellStyle name="60% - Accent1 2 3 3 2 2" xfId="1722" xr:uid="{00000000-0005-0000-0000-0000BA060000}"/>
    <cellStyle name="60% - Accent1 2 3 3 3" xfId="1723" xr:uid="{00000000-0005-0000-0000-0000BB060000}"/>
    <cellStyle name="60% - Accent1 2 3 4" xfId="1724" xr:uid="{00000000-0005-0000-0000-0000BC060000}"/>
    <cellStyle name="60% - Accent1 2 4" xfId="1725" xr:uid="{00000000-0005-0000-0000-0000BD060000}"/>
    <cellStyle name="60% - Accent1 2 4 2" xfId="1726" xr:uid="{00000000-0005-0000-0000-0000BE060000}"/>
    <cellStyle name="60% - Accent1 2 4 2 2" xfId="1727" xr:uid="{00000000-0005-0000-0000-0000BF060000}"/>
    <cellStyle name="60% - Accent1 2 4 3" xfId="1728" xr:uid="{00000000-0005-0000-0000-0000C0060000}"/>
    <cellStyle name="60% - Accent1 2 5" xfId="1729" xr:uid="{00000000-0005-0000-0000-0000C1060000}"/>
    <cellStyle name="60% - Accent1 2 5 2" xfId="1730" xr:uid="{00000000-0005-0000-0000-0000C2060000}"/>
    <cellStyle name="60% - Accent1 2 5 2 2" xfId="1731" xr:uid="{00000000-0005-0000-0000-0000C3060000}"/>
    <cellStyle name="60% - Accent1 2 5 3" xfId="1732" xr:uid="{00000000-0005-0000-0000-0000C4060000}"/>
    <cellStyle name="60% - Accent1 2 5 3 2" xfId="1733" xr:uid="{00000000-0005-0000-0000-0000C5060000}"/>
    <cellStyle name="60% - Accent1 2 5 3 2 2" xfId="1734" xr:uid="{00000000-0005-0000-0000-0000C6060000}"/>
    <cellStyle name="60% - Accent1 2 5 3 3" xfId="1735" xr:uid="{00000000-0005-0000-0000-0000C7060000}"/>
    <cellStyle name="60% - Accent1 2 5 4" xfId="1736" xr:uid="{00000000-0005-0000-0000-0000C8060000}"/>
    <cellStyle name="60% - Accent1 2 6" xfId="1737" xr:uid="{00000000-0005-0000-0000-0000C9060000}"/>
    <cellStyle name="60% - Accent1 2 6 2" xfId="1738" xr:uid="{00000000-0005-0000-0000-0000CA060000}"/>
    <cellStyle name="60% - Accent1 2 7" xfId="1739" xr:uid="{00000000-0005-0000-0000-0000CB060000}"/>
    <cellStyle name="60% - Accent1 2 7 2" xfId="1740" xr:uid="{00000000-0005-0000-0000-0000CC060000}"/>
    <cellStyle name="60% - Accent1 2 8" xfId="1741" xr:uid="{00000000-0005-0000-0000-0000CD060000}"/>
    <cellStyle name="60% - Accent1 2 8 2" xfId="1742" xr:uid="{00000000-0005-0000-0000-0000CE060000}"/>
    <cellStyle name="60% - Accent1 2 8 2 2" xfId="1743" xr:uid="{00000000-0005-0000-0000-0000CF060000}"/>
    <cellStyle name="60% - Accent1 2 8 3" xfId="1744" xr:uid="{00000000-0005-0000-0000-0000D0060000}"/>
    <cellStyle name="60% - Accent1 2 9" xfId="1745" xr:uid="{00000000-0005-0000-0000-0000D1060000}"/>
    <cellStyle name="60% - Accent1 2 9 2" xfId="1746" xr:uid="{00000000-0005-0000-0000-0000D2060000}"/>
    <cellStyle name="60% - Accent1 2 9 2 2" xfId="1747" xr:uid="{00000000-0005-0000-0000-0000D3060000}"/>
    <cellStyle name="60% - Accent1 2 9 3" xfId="1748" xr:uid="{00000000-0005-0000-0000-0000D4060000}"/>
    <cellStyle name="60% - Accent1 3" xfId="1749" xr:uid="{00000000-0005-0000-0000-0000D5060000}"/>
    <cellStyle name="60% - Accent1 3 2" xfId="1750" xr:uid="{00000000-0005-0000-0000-0000D6060000}"/>
    <cellStyle name="60% - Accent1 3 2 2" xfId="1751" xr:uid="{00000000-0005-0000-0000-0000D7060000}"/>
    <cellStyle name="60% - Accent1 3 3" xfId="1752" xr:uid="{00000000-0005-0000-0000-0000D8060000}"/>
    <cellStyle name="60% - Accent1 3 3 2" xfId="1753" xr:uid="{00000000-0005-0000-0000-0000D9060000}"/>
    <cellStyle name="60% - Accent1 3 4" xfId="1754" xr:uid="{00000000-0005-0000-0000-0000DA060000}"/>
    <cellStyle name="60% - Accent1 3 4 2" xfId="1755" xr:uid="{00000000-0005-0000-0000-0000DB060000}"/>
    <cellStyle name="60% - Accent1 3 4 2 2" xfId="1756" xr:uid="{00000000-0005-0000-0000-0000DC060000}"/>
    <cellStyle name="60% - Accent1 3 4 3" xfId="1757" xr:uid="{00000000-0005-0000-0000-0000DD060000}"/>
    <cellStyle name="60% - Accent1 3 5" xfId="1758" xr:uid="{00000000-0005-0000-0000-0000DE060000}"/>
    <cellStyle name="60% - Accent1 4" xfId="1759" xr:uid="{00000000-0005-0000-0000-0000DF060000}"/>
    <cellStyle name="60% - Accent1 4 2" xfId="1760" xr:uid="{00000000-0005-0000-0000-0000E0060000}"/>
    <cellStyle name="60% - Accent1 4 2 2" xfId="1761" xr:uid="{00000000-0005-0000-0000-0000E1060000}"/>
    <cellStyle name="60% - Accent1 4 3" xfId="1762" xr:uid="{00000000-0005-0000-0000-0000E2060000}"/>
    <cellStyle name="60% - Accent1 4 3 2" xfId="1763" xr:uid="{00000000-0005-0000-0000-0000E3060000}"/>
    <cellStyle name="60% - Accent1 4 3 2 2" xfId="1764" xr:uid="{00000000-0005-0000-0000-0000E4060000}"/>
    <cellStyle name="60% - Accent1 4 3 3" xfId="1765" xr:uid="{00000000-0005-0000-0000-0000E5060000}"/>
    <cellStyle name="60% - Accent1 4 4" xfId="1766" xr:uid="{00000000-0005-0000-0000-0000E6060000}"/>
    <cellStyle name="60% - Accent1 5" xfId="1767" xr:uid="{00000000-0005-0000-0000-0000E7060000}"/>
    <cellStyle name="60% - Accent1 5 2" xfId="1768" xr:uid="{00000000-0005-0000-0000-0000E8060000}"/>
    <cellStyle name="60% - Accent1 5 2 2" xfId="1769" xr:uid="{00000000-0005-0000-0000-0000E9060000}"/>
    <cellStyle name="60% - Accent1 5 3" xfId="1770" xr:uid="{00000000-0005-0000-0000-0000EA060000}"/>
    <cellStyle name="60% - Accent1 5 3 2" xfId="1771" xr:uid="{00000000-0005-0000-0000-0000EB060000}"/>
    <cellStyle name="60% - Accent1 5 3 2 2" xfId="1772" xr:uid="{00000000-0005-0000-0000-0000EC060000}"/>
    <cellStyle name="60% - Accent1 5 3 3" xfId="1773" xr:uid="{00000000-0005-0000-0000-0000ED060000}"/>
    <cellStyle name="60% - Accent1 5 4" xfId="1774" xr:uid="{00000000-0005-0000-0000-0000EE060000}"/>
    <cellStyle name="60% - Accent1 6" xfId="1775" xr:uid="{00000000-0005-0000-0000-0000EF060000}"/>
    <cellStyle name="60% - Accent1 6 2" xfId="1776" xr:uid="{00000000-0005-0000-0000-0000F0060000}"/>
    <cellStyle name="60% - Accent1 6 2 2" xfId="1777" xr:uid="{00000000-0005-0000-0000-0000F1060000}"/>
    <cellStyle name="60% - Accent1 6 3" xfId="1778" xr:uid="{00000000-0005-0000-0000-0000F2060000}"/>
    <cellStyle name="60% - Accent1 7" xfId="1779" xr:uid="{00000000-0005-0000-0000-0000F3060000}"/>
    <cellStyle name="60% - Accent1 8" xfId="1780" xr:uid="{00000000-0005-0000-0000-0000F4060000}"/>
    <cellStyle name="60% - Accent2 2" xfId="1781" xr:uid="{00000000-0005-0000-0000-0000F5060000}"/>
    <cellStyle name="60% - Accent2 2 10" xfId="1782" xr:uid="{00000000-0005-0000-0000-0000F6060000}"/>
    <cellStyle name="60% - Accent2 2 2" xfId="1783" xr:uid="{00000000-0005-0000-0000-0000F7060000}"/>
    <cellStyle name="60% - Accent2 2 2 2" xfId="1784" xr:uid="{00000000-0005-0000-0000-0000F8060000}"/>
    <cellStyle name="60% - Accent2 2 2 2 2" xfId="1785" xr:uid="{00000000-0005-0000-0000-0000F9060000}"/>
    <cellStyle name="60% - Accent2 2 2 3" xfId="1786" xr:uid="{00000000-0005-0000-0000-0000FA060000}"/>
    <cellStyle name="60% - Accent2 2 2 3 2" xfId="1787" xr:uid="{00000000-0005-0000-0000-0000FB060000}"/>
    <cellStyle name="60% - Accent2 2 2 3 2 2" xfId="1788" xr:uid="{00000000-0005-0000-0000-0000FC060000}"/>
    <cellStyle name="60% - Accent2 2 2 3 3" xfId="1789" xr:uid="{00000000-0005-0000-0000-0000FD060000}"/>
    <cellStyle name="60% - Accent2 2 2 4" xfId="1790" xr:uid="{00000000-0005-0000-0000-0000FE060000}"/>
    <cellStyle name="60% - Accent2 2 3" xfId="1791" xr:uid="{00000000-0005-0000-0000-0000FF060000}"/>
    <cellStyle name="60% - Accent2 2 3 2" xfId="1792" xr:uid="{00000000-0005-0000-0000-000000070000}"/>
    <cellStyle name="60% - Accent2 2 3 2 2" xfId="1793" xr:uid="{00000000-0005-0000-0000-000001070000}"/>
    <cellStyle name="60% - Accent2 2 3 3" xfId="1794" xr:uid="{00000000-0005-0000-0000-000002070000}"/>
    <cellStyle name="60% - Accent2 2 3 3 2" xfId="1795" xr:uid="{00000000-0005-0000-0000-000003070000}"/>
    <cellStyle name="60% - Accent2 2 3 3 2 2" xfId="1796" xr:uid="{00000000-0005-0000-0000-000004070000}"/>
    <cellStyle name="60% - Accent2 2 3 3 3" xfId="1797" xr:uid="{00000000-0005-0000-0000-000005070000}"/>
    <cellStyle name="60% - Accent2 2 3 4" xfId="1798" xr:uid="{00000000-0005-0000-0000-000006070000}"/>
    <cellStyle name="60% - Accent2 2 4" xfId="1799" xr:uid="{00000000-0005-0000-0000-000007070000}"/>
    <cellStyle name="60% - Accent2 2 4 2" xfId="1800" xr:uid="{00000000-0005-0000-0000-000008070000}"/>
    <cellStyle name="60% - Accent2 2 4 2 2" xfId="1801" xr:uid="{00000000-0005-0000-0000-000009070000}"/>
    <cellStyle name="60% - Accent2 2 4 3" xfId="1802" xr:uid="{00000000-0005-0000-0000-00000A070000}"/>
    <cellStyle name="60% - Accent2 2 5" xfId="1803" xr:uid="{00000000-0005-0000-0000-00000B070000}"/>
    <cellStyle name="60% - Accent2 2 5 2" xfId="1804" xr:uid="{00000000-0005-0000-0000-00000C070000}"/>
    <cellStyle name="60% - Accent2 2 5 2 2" xfId="1805" xr:uid="{00000000-0005-0000-0000-00000D070000}"/>
    <cellStyle name="60% - Accent2 2 5 3" xfId="1806" xr:uid="{00000000-0005-0000-0000-00000E070000}"/>
    <cellStyle name="60% - Accent2 2 5 3 2" xfId="1807" xr:uid="{00000000-0005-0000-0000-00000F070000}"/>
    <cellStyle name="60% - Accent2 2 5 3 2 2" xfId="1808" xr:uid="{00000000-0005-0000-0000-000010070000}"/>
    <cellStyle name="60% - Accent2 2 5 3 3" xfId="1809" xr:uid="{00000000-0005-0000-0000-000011070000}"/>
    <cellStyle name="60% - Accent2 2 5 4" xfId="1810" xr:uid="{00000000-0005-0000-0000-000012070000}"/>
    <cellStyle name="60% - Accent2 2 6" xfId="1811" xr:uid="{00000000-0005-0000-0000-000013070000}"/>
    <cellStyle name="60% - Accent2 2 6 2" xfId="1812" xr:uid="{00000000-0005-0000-0000-000014070000}"/>
    <cellStyle name="60% - Accent2 2 7" xfId="1813" xr:uid="{00000000-0005-0000-0000-000015070000}"/>
    <cellStyle name="60% - Accent2 2 7 2" xfId="1814" xr:uid="{00000000-0005-0000-0000-000016070000}"/>
    <cellStyle name="60% - Accent2 2 8" xfId="1815" xr:uid="{00000000-0005-0000-0000-000017070000}"/>
    <cellStyle name="60% - Accent2 2 8 2" xfId="1816" xr:uid="{00000000-0005-0000-0000-000018070000}"/>
    <cellStyle name="60% - Accent2 2 8 2 2" xfId="1817" xr:uid="{00000000-0005-0000-0000-000019070000}"/>
    <cellStyle name="60% - Accent2 2 8 3" xfId="1818" xr:uid="{00000000-0005-0000-0000-00001A070000}"/>
    <cellStyle name="60% - Accent2 2 9" xfId="1819" xr:uid="{00000000-0005-0000-0000-00001B070000}"/>
    <cellStyle name="60% - Accent2 2 9 2" xfId="1820" xr:uid="{00000000-0005-0000-0000-00001C070000}"/>
    <cellStyle name="60% - Accent2 2 9 2 2" xfId="1821" xr:uid="{00000000-0005-0000-0000-00001D070000}"/>
    <cellStyle name="60% - Accent2 2 9 3" xfId="1822" xr:uid="{00000000-0005-0000-0000-00001E070000}"/>
    <cellStyle name="60% - Accent2 3" xfId="1823" xr:uid="{00000000-0005-0000-0000-00001F070000}"/>
    <cellStyle name="60% - Accent2 3 2" xfId="1824" xr:uid="{00000000-0005-0000-0000-000020070000}"/>
    <cellStyle name="60% - Accent2 3 2 2" xfId="1825" xr:uid="{00000000-0005-0000-0000-000021070000}"/>
    <cellStyle name="60% - Accent2 3 3" xfId="1826" xr:uid="{00000000-0005-0000-0000-000022070000}"/>
    <cellStyle name="60% - Accent2 3 3 2" xfId="1827" xr:uid="{00000000-0005-0000-0000-000023070000}"/>
    <cellStyle name="60% - Accent2 3 4" xfId="1828" xr:uid="{00000000-0005-0000-0000-000024070000}"/>
    <cellStyle name="60% - Accent2 3 4 2" xfId="1829" xr:uid="{00000000-0005-0000-0000-000025070000}"/>
    <cellStyle name="60% - Accent2 3 4 2 2" xfId="1830" xr:uid="{00000000-0005-0000-0000-000026070000}"/>
    <cellStyle name="60% - Accent2 3 4 3" xfId="1831" xr:uid="{00000000-0005-0000-0000-000027070000}"/>
    <cellStyle name="60% - Accent2 3 5" xfId="1832" xr:uid="{00000000-0005-0000-0000-000028070000}"/>
    <cellStyle name="60% - Accent2 4" xfId="1833" xr:uid="{00000000-0005-0000-0000-000029070000}"/>
    <cellStyle name="60% - Accent2 4 2" xfId="1834" xr:uid="{00000000-0005-0000-0000-00002A070000}"/>
    <cellStyle name="60% - Accent2 4 2 2" xfId="1835" xr:uid="{00000000-0005-0000-0000-00002B070000}"/>
    <cellStyle name="60% - Accent2 4 3" xfId="1836" xr:uid="{00000000-0005-0000-0000-00002C070000}"/>
    <cellStyle name="60% - Accent2 4 3 2" xfId="1837" xr:uid="{00000000-0005-0000-0000-00002D070000}"/>
    <cellStyle name="60% - Accent2 4 3 2 2" xfId="1838" xr:uid="{00000000-0005-0000-0000-00002E070000}"/>
    <cellStyle name="60% - Accent2 4 3 3" xfId="1839" xr:uid="{00000000-0005-0000-0000-00002F070000}"/>
    <cellStyle name="60% - Accent2 4 4" xfId="1840" xr:uid="{00000000-0005-0000-0000-000030070000}"/>
    <cellStyle name="60% - Accent2 5" xfId="1841" xr:uid="{00000000-0005-0000-0000-000031070000}"/>
    <cellStyle name="60% - Accent2 5 2" xfId="1842" xr:uid="{00000000-0005-0000-0000-000032070000}"/>
    <cellStyle name="60% - Accent2 5 2 2" xfId="1843" xr:uid="{00000000-0005-0000-0000-000033070000}"/>
    <cellStyle name="60% - Accent2 5 3" xfId="1844" xr:uid="{00000000-0005-0000-0000-000034070000}"/>
    <cellStyle name="60% - Accent2 5 3 2" xfId="1845" xr:uid="{00000000-0005-0000-0000-000035070000}"/>
    <cellStyle name="60% - Accent2 5 3 2 2" xfId="1846" xr:uid="{00000000-0005-0000-0000-000036070000}"/>
    <cellStyle name="60% - Accent2 5 3 3" xfId="1847" xr:uid="{00000000-0005-0000-0000-000037070000}"/>
    <cellStyle name="60% - Accent2 5 4" xfId="1848" xr:uid="{00000000-0005-0000-0000-000038070000}"/>
    <cellStyle name="60% - Accent2 6" xfId="1849" xr:uid="{00000000-0005-0000-0000-000039070000}"/>
    <cellStyle name="60% - Accent2 6 2" xfId="1850" xr:uid="{00000000-0005-0000-0000-00003A070000}"/>
    <cellStyle name="60% - Accent2 6 2 2" xfId="1851" xr:uid="{00000000-0005-0000-0000-00003B070000}"/>
    <cellStyle name="60% - Accent2 6 3" xfId="1852" xr:uid="{00000000-0005-0000-0000-00003C070000}"/>
    <cellStyle name="60% - Accent2 7" xfId="1853" xr:uid="{00000000-0005-0000-0000-00003D070000}"/>
    <cellStyle name="60% - Accent2 8" xfId="1854" xr:uid="{00000000-0005-0000-0000-00003E070000}"/>
    <cellStyle name="60% - Accent3 2" xfId="1855" xr:uid="{00000000-0005-0000-0000-00003F070000}"/>
    <cellStyle name="60% - Accent3 2 10" xfId="1856" xr:uid="{00000000-0005-0000-0000-000040070000}"/>
    <cellStyle name="60% - Accent3 2 2" xfId="1857" xr:uid="{00000000-0005-0000-0000-000041070000}"/>
    <cellStyle name="60% - Accent3 2 2 2" xfId="1858" xr:uid="{00000000-0005-0000-0000-000042070000}"/>
    <cellStyle name="60% - Accent3 2 2 2 2" xfId="1859" xr:uid="{00000000-0005-0000-0000-000043070000}"/>
    <cellStyle name="60% - Accent3 2 2 3" xfId="1860" xr:uid="{00000000-0005-0000-0000-000044070000}"/>
    <cellStyle name="60% - Accent3 2 2 3 2" xfId="1861" xr:uid="{00000000-0005-0000-0000-000045070000}"/>
    <cellStyle name="60% - Accent3 2 2 3 2 2" xfId="1862" xr:uid="{00000000-0005-0000-0000-000046070000}"/>
    <cellStyle name="60% - Accent3 2 2 3 3" xfId="1863" xr:uid="{00000000-0005-0000-0000-000047070000}"/>
    <cellStyle name="60% - Accent3 2 2 4" xfId="1864" xr:uid="{00000000-0005-0000-0000-000048070000}"/>
    <cellStyle name="60% - Accent3 2 3" xfId="1865" xr:uid="{00000000-0005-0000-0000-000049070000}"/>
    <cellStyle name="60% - Accent3 2 3 2" xfId="1866" xr:uid="{00000000-0005-0000-0000-00004A070000}"/>
    <cellStyle name="60% - Accent3 2 3 2 2" xfId="1867" xr:uid="{00000000-0005-0000-0000-00004B070000}"/>
    <cellStyle name="60% - Accent3 2 3 3" xfId="1868" xr:uid="{00000000-0005-0000-0000-00004C070000}"/>
    <cellStyle name="60% - Accent3 2 3 3 2" xfId="1869" xr:uid="{00000000-0005-0000-0000-00004D070000}"/>
    <cellStyle name="60% - Accent3 2 3 3 2 2" xfId="1870" xr:uid="{00000000-0005-0000-0000-00004E070000}"/>
    <cellStyle name="60% - Accent3 2 3 3 3" xfId="1871" xr:uid="{00000000-0005-0000-0000-00004F070000}"/>
    <cellStyle name="60% - Accent3 2 3 4" xfId="1872" xr:uid="{00000000-0005-0000-0000-000050070000}"/>
    <cellStyle name="60% - Accent3 2 4" xfId="1873" xr:uid="{00000000-0005-0000-0000-000051070000}"/>
    <cellStyle name="60% - Accent3 2 4 2" xfId="1874" xr:uid="{00000000-0005-0000-0000-000052070000}"/>
    <cellStyle name="60% - Accent3 2 4 2 2" xfId="1875" xr:uid="{00000000-0005-0000-0000-000053070000}"/>
    <cellStyle name="60% - Accent3 2 4 3" xfId="1876" xr:uid="{00000000-0005-0000-0000-000054070000}"/>
    <cellStyle name="60% - Accent3 2 5" xfId="1877" xr:uid="{00000000-0005-0000-0000-000055070000}"/>
    <cellStyle name="60% - Accent3 2 5 2" xfId="1878" xr:uid="{00000000-0005-0000-0000-000056070000}"/>
    <cellStyle name="60% - Accent3 2 5 2 2" xfId="1879" xr:uid="{00000000-0005-0000-0000-000057070000}"/>
    <cellStyle name="60% - Accent3 2 5 3" xfId="1880" xr:uid="{00000000-0005-0000-0000-000058070000}"/>
    <cellStyle name="60% - Accent3 2 5 3 2" xfId="1881" xr:uid="{00000000-0005-0000-0000-000059070000}"/>
    <cellStyle name="60% - Accent3 2 5 3 2 2" xfId="1882" xr:uid="{00000000-0005-0000-0000-00005A070000}"/>
    <cellStyle name="60% - Accent3 2 5 3 3" xfId="1883" xr:uid="{00000000-0005-0000-0000-00005B070000}"/>
    <cellStyle name="60% - Accent3 2 5 4" xfId="1884" xr:uid="{00000000-0005-0000-0000-00005C070000}"/>
    <cellStyle name="60% - Accent3 2 6" xfId="1885" xr:uid="{00000000-0005-0000-0000-00005D070000}"/>
    <cellStyle name="60% - Accent3 2 6 2" xfId="1886" xr:uid="{00000000-0005-0000-0000-00005E070000}"/>
    <cellStyle name="60% - Accent3 2 7" xfId="1887" xr:uid="{00000000-0005-0000-0000-00005F070000}"/>
    <cellStyle name="60% - Accent3 2 7 2" xfId="1888" xr:uid="{00000000-0005-0000-0000-000060070000}"/>
    <cellStyle name="60% - Accent3 2 8" xfId="1889" xr:uid="{00000000-0005-0000-0000-000061070000}"/>
    <cellStyle name="60% - Accent3 2 8 2" xfId="1890" xr:uid="{00000000-0005-0000-0000-000062070000}"/>
    <cellStyle name="60% - Accent3 2 8 2 2" xfId="1891" xr:uid="{00000000-0005-0000-0000-000063070000}"/>
    <cellStyle name="60% - Accent3 2 8 3" xfId="1892" xr:uid="{00000000-0005-0000-0000-000064070000}"/>
    <cellStyle name="60% - Accent3 2 9" xfId="1893" xr:uid="{00000000-0005-0000-0000-000065070000}"/>
    <cellStyle name="60% - Accent3 2 9 2" xfId="1894" xr:uid="{00000000-0005-0000-0000-000066070000}"/>
    <cellStyle name="60% - Accent3 2 9 2 2" xfId="1895" xr:uid="{00000000-0005-0000-0000-000067070000}"/>
    <cellStyle name="60% - Accent3 2 9 3" xfId="1896" xr:uid="{00000000-0005-0000-0000-000068070000}"/>
    <cellStyle name="60% - Accent3 3" xfId="1897" xr:uid="{00000000-0005-0000-0000-000069070000}"/>
    <cellStyle name="60% - Accent3 3 2" xfId="1898" xr:uid="{00000000-0005-0000-0000-00006A070000}"/>
    <cellStyle name="60% - Accent3 3 2 2" xfId="1899" xr:uid="{00000000-0005-0000-0000-00006B070000}"/>
    <cellStyle name="60% - Accent3 3 3" xfId="1900" xr:uid="{00000000-0005-0000-0000-00006C070000}"/>
    <cellStyle name="60% - Accent3 3 3 2" xfId="1901" xr:uid="{00000000-0005-0000-0000-00006D070000}"/>
    <cellStyle name="60% - Accent3 3 4" xfId="1902" xr:uid="{00000000-0005-0000-0000-00006E070000}"/>
    <cellStyle name="60% - Accent3 3 4 2" xfId="1903" xr:uid="{00000000-0005-0000-0000-00006F070000}"/>
    <cellStyle name="60% - Accent3 3 4 2 2" xfId="1904" xr:uid="{00000000-0005-0000-0000-000070070000}"/>
    <cellStyle name="60% - Accent3 3 4 3" xfId="1905" xr:uid="{00000000-0005-0000-0000-000071070000}"/>
    <cellStyle name="60% - Accent3 3 5" xfId="1906" xr:uid="{00000000-0005-0000-0000-000072070000}"/>
    <cellStyle name="60% - Accent3 4" xfId="1907" xr:uid="{00000000-0005-0000-0000-000073070000}"/>
    <cellStyle name="60% - Accent3 4 2" xfId="1908" xr:uid="{00000000-0005-0000-0000-000074070000}"/>
    <cellStyle name="60% - Accent3 4 2 2" xfId="1909" xr:uid="{00000000-0005-0000-0000-000075070000}"/>
    <cellStyle name="60% - Accent3 4 3" xfId="1910" xr:uid="{00000000-0005-0000-0000-000076070000}"/>
    <cellStyle name="60% - Accent3 4 3 2" xfId="1911" xr:uid="{00000000-0005-0000-0000-000077070000}"/>
    <cellStyle name="60% - Accent3 4 3 2 2" xfId="1912" xr:uid="{00000000-0005-0000-0000-000078070000}"/>
    <cellStyle name="60% - Accent3 4 3 3" xfId="1913" xr:uid="{00000000-0005-0000-0000-000079070000}"/>
    <cellStyle name="60% - Accent3 4 4" xfId="1914" xr:uid="{00000000-0005-0000-0000-00007A070000}"/>
    <cellStyle name="60% - Accent3 5" xfId="1915" xr:uid="{00000000-0005-0000-0000-00007B070000}"/>
    <cellStyle name="60% - Accent3 5 2" xfId="1916" xr:uid="{00000000-0005-0000-0000-00007C070000}"/>
    <cellStyle name="60% - Accent3 5 2 2" xfId="1917" xr:uid="{00000000-0005-0000-0000-00007D070000}"/>
    <cellStyle name="60% - Accent3 5 3" xfId="1918" xr:uid="{00000000-0005-0000-0000-00007E070000}"/>
    <cellStyle name="60% - Accent3 5 3 2" xfId="1919" xr:uid="{00000000-0005-0000-0000-00007F070000}"/>
    <cellStyle name="60% - Accent3 5 3 2 2" xfId="1920" xr:uid="{00000000-0005-0000-0000-000080070000}"/>
    <cellStyle name="60% - Accent3 5 3 3" xfId="1921" xr:uid="{00000000-0005-0000-0000-000081070000}"/>
    <cellStyle name="60% - Accent3 5 4" xfId="1922" xr:uid="{00000000-0005-0000-0000-000082070000}"/>
    <cellStyle name="60% - Accent3 6" xfId="1923" xr:uid="{00000000-0005-0000-0000-000083070000}"/>
    <cellStyle name="60% - Accent3 6 2" xfId="1924" xr:uid="{00000000-0005-0000-0000-000084070000}"/>
    <cellStyle name="60% - Accent3 6 2 2" xfId="1925" xr:uid="{00000000-0005-0000-0000-000085070000}"/>
    <cellStyle name="60% - Accent3 6 3" xfId="1926" xr:uid="{00000000-0005-0000-0000-000086070000}"/>
    <cellStyle name="60% - Accent3 7" xfId="1927" xr:uid="{00000000-0005-0000-0000-000087070000}"/>
    <cellStyle name="60% - Accent3 8" xfId="1928" xr:uid="{00000000-0005-0000-0000-000088070000}"/>
    <cellStyle name="60% - Accent4 2" xfId="1929" xr:uid="{00000000-0005-0000-0000-000089070000}"/>
    <cellStyle name="60% - Accent4 2 10" xfId="1930" xr:uid="{00000000-0005-0000-0000-00008A070000}"/>
    <cellStyle name="60% - Accent4 2 2" xfId="1931" xr:uid="{00000000-0005-0000-0000-00008B070000}"/>
    <cellStyle name="60% - Accent4 2 2 2" xfId="1932" xr:uid="{00000000-0005-0000-0000-00008C070000}"/>
    <cellStyle name="60% - Accent4 2 2 2 2" xfId="1933" xr:uid="{00000000-0005-0000-0000-00008D070000}"/>
    <cellStyle name="60% - Accent4 2 2 3" xfId="1934" xr:uid="{00000000-0005-0000-0000-00008E070000}"/>
    <cellStyle name="60% - Accent4 2 2 3 2" xfId="1935" xr:uid="{00000000-0005-0000-0000-00008F070000}"/>
    <cellStyle name="60% - Accent4 2 2 3 2 2" xfId="1936" xr:uid="{00000000-0005-0000-0000-000090070000}"/>
    <cellStyle name="60% - Accent4 2 2 3 3" xfId="1937" xr:uid="{00000000-0005-0000-0000-000091070000}"/>
    <cellStyle name="60% - Accent4 2 2 4" xfId="1938" xr:uid="{00000000-0005-0000-0000-000092070000}"/>
    <cellStyle name="60% - Accent4 2 3" xfId="1939" xr:uid="{00000000-0005-0000-0000-000093070000}"/>
    <cellStyle name="60% - Accent4 2 3 2" xfId="1940" xr:uid="{00000000-0005-0000-0000-000094070000}"/>
    <cellStyle name="60% - Accent4 2 3 2 2" xfId="1941" xr:uid="{00000000-0005-0000-0000-000095070000}"/>
    <cellStyle name="60% - Accent4 2 3 3" xfId="1942" xr:uid="{00000000-0005-0000-0000-000096070000}"/>
    <cellStyle name="60% - Accent4 2 3 3 2" xfId="1943" xr:uid="{00000000-0005-0000-0000-000097070000}"/>
    <cellStyle name="60% - Accent4 2 3 3 2 2" xfId="1944" xr:uid="{00000000-0005-0000-0000-000098070000}"/>
    <cellStyle name="60% - Accent4 2 3 3 3" xfId="1945" xr:uid="{00000000-0005-0000-0000-000099070000}"/>
    <cellStyle name="60% - Accent4 2 3 4" xfId="1946" xr:uid="{00000000-0005-0000-0000-00009A070000}"/>
    <cellStyle name="60% - Accent4 2 4" xfId="1947" xr:uid="{00000000-0005-0000-0000-00009B070000}"/>
    <cellStyle name="60% - Accent4 2 4 2" xfId="1948" xr:uid="{00000000-0005-0000-0000-00009C070000}"/>
    <cellStyle name="60% - Accent4 2 4 2 2" xfId="1949" xr:uid="{00000000-0005-0000-0000-00009D070000}"/>
    <cellStyle name="60% - Accent4 2 4 3" xfId="1950" xr:uid="{00000000-0005-0000-0000-00009E070000}"/>
    <cellStyle name="60% - Accent4 2 5" xfId="1951" xr:uid="{00000000-0005-0000-0000-00009F070000}"/>
    <cellStyle name="60% - Accent4 2 5 2" xfId="1952" xr:uid="{00000000-0005-0000-0000-0000A0070000}"/>
    <cellStyle name="60% - Accent4 2 5 2 2" xfId="1953" xr:uid="{00000000-0005-0000-0000-0000A1070000}"/>
    <cellStyle name="60% - Accent4 2 5 3" xfId="1954" xr:uid="{00000000-0005-0000-0000-0000A2070000}"/>
    <cellStyle name="60% - Accent4 2 5 3 2" xfId="1955" xr:uid="{00000000-0005-0000-0000-0000A3070000}"/>
    <cellStyle name="60% - Accent4 2 5 3 2 2" xfId="1956" xr:uid="{00000000-0005-0000-0000-0000A4070000}"/>
    <cellStyle name="60% - Accent4 2 5 3 3" xfId="1957" xr:uid="{00000000-0005-0000-0000-0000A5070000}"/>
    <cellStyle name="60% - Accent4 2 5 4" xfId="1958" xr:uid="{00000000-0005-0000-0000-0000A6070000}"/>
    <cellStyle name="60% - Accent4 2 6" xfId="1959" xr:uid="{00000000-0005-0000-0000-0000A7070000}"/>
    <cellStyle name="60% - Accent4 2 6 2" xfId="1960" xr:uid="{00000000-0005-0000-0000-0000A8070000}"/>
    <cellStyle name="60% - Accent4 2 7" xfId="1961" xr:uid="{00000000-0005-0000-0000-0000A9070000}"/>
    <cellStyle name="60% - Accent4 2 7 2" xfId="1962" xr:uid="{00000000-0005-0000-0000-0000AA070000}"/>
    <cellStyle name="60% - Accent4 2 8" xfId="1963" xr:uid="{00000000-0005-0000-0000-0000AB070000}"/>
    <cellStyle name="60% - Accent4 2 8 2" xfId="1964" xr:uid="{00000000-0005-0000-0000-0000AC070000}"/>
    <cellStyle name="60% - Accent4 2 8 2 2" xfId="1965" xr:uid="{00000000-0005-0000-0000-0000AD070000}"/>
    <cellStyle name="60% - Accent4 2 8 3" xfId="1966" xr:uid="{00000000-0005-0000-0000-0000AE070000}"/>
    <cellStyle name="60% - Accent4 2 9" xfId="1967" xr:uid="{00000000-0005-0000-0000-0000AF070000}"/>
    <cellStyle name="60% - Accent4 2 9 2" xfId="1968" xr:uid="{00000000-0005-0000-0000-0000B0070000}"/>
    <cellStyle name="60% - Accent4 2 9 2 2" xfId="1969" xr:uid="{00000000-0005-0000-0000-0000B1070000}"/>
    <cellStyle name="60% - Accent4 2 9 3" xfId="1970" xr:uid="{00000000-0005-0000-0000-0000B2070000}"/>
    <cellStyle name="60% - Accent4 3" xfId="1971" xr:uid="{00000000-0005-0000-0000-0000B3070000}"/>
    <cellStyle name="60% - Accent4 3 2" xfId="1972" xr:uid="{00000000-0005-0000-0000-0000B4070000}"/>
    <cellStyle name="60% - Accent4 3 2 2" xfId="1973" xr:uid="{00000000-0005-0000-0000-0000B5070000}"/>
    <cellStyle name="60% - Accent4 3 3" xfId="1974" xr:uid="{00000000-0005-0000-0000-0000B6070000}"/>
    <cellStyle name="60% - Accent4 3 3 2" xfId="1975" xr:uid="{00000000-0005-0000-0000-0000B7070000}"/>
    <cellStyle name="60% - Accent4 3 4" xfId="1976" xr:uid="{00000000-0005-0000-0000-0000B8070000}"/>
    <cellStyle name="60% - Accent4 3 4 2" xfId="1977" xr:uid="{00000000-0005-0000-0000-0000B9070000}"/>
    <cellStyle name="60% - Accent4 3 4 2 2" xfId="1978" xr:uid="{00000000-0005-0000-0000-0000BA070000}"/>
    <cellStyle name="60% - Accent4 3 4 3" xfId="1979" xr:uid="{00000000-0005-0000-0000-0000BB070000}"/>
    <cellStyle name="60% - Accent4 3 5" xfId="1980" xr:uid="{00000000-0005-0000-0000-0000BC070000}"/>
    <cellStyle name="60% - Accent4 4" xfId="1981" xr:uid="{00000000-0005-0000-0000-0000BD070000}"/>
    <cellStyle name="60% - Accent4 4 2" xfId="1982" xr:uid="{00000000-0005-0000-0000-0000BE070000}"/>
    <cellStyle name="60% - Accent4 4 2 2" xfId="1983" xr:uid="{00000000-0005-0000-0000-0000BF070000}"/>
    <cellStyle name="60% - Accent4 4 3" xfId="1984" xr:uid="{00000000-0005-0000-0000-0000C0070000}"/>
    <cellStyle name="60% - Accent4 4 3 2" xfId="1985" xr:uid="{00000000-0005-0000-0000-0000C1070000}"/>
    <cellStyle name="60% - Accent4 4 3 2 2" xfId="1986" xr:uid="{00000000-0005-0000-0000-0000C2070000}"/>
    <cellStyle name="60% - Accent4 4 3 3" xfId="1987" xr:uid="{00000000-0005-0000-0000-0000C3070000}"/>
    <cellStyle name="60% - Accent4 4 4" xfId="1988" xr:uid="{00000000-0005-0000-0000-0000C4070000}"/>
    <cellStyle name="60% - Accent4 5" xfId="1989" xr:uid="{00000000-0005-0000-0000-0000C5070000}"/>
    <cellStyle name="60% - Accent4 5 2" xfId="1990" xr:uid="{00000000-0005-0000-0000-0000C6070000}"/>
    <cellStyle name="60% - Accent4 5 2 2" xfId="1991" xr:uid="{00000000-0005-0000-0000-0000C7070000}"/>
    <cellStyle name="60% - Accent4 5 3" xfId="1992" xr:uid="{00000000-0005-0000-0000-0000C8070000}"/>
    <cellStyle name="60% - Accent4 5 3 2" xfId="1993" xr:uid="{00000000-0005-0000-0000-0000C9070000}"/>
    <cellStyle name="60% - Accent4 5 3 2 2" xfId="1994" xr:uid="{00000000-0005-0000-0000-0000CA070000}"/>
    <cellStyle name="60% - Accent4 5 3 3" xfId="1995" xr:uid="{00000000-0005-0000-0000-0000CB070000}"/>
    <cellStyle name="60% - Accent4 5 4" xfId="1996" xr:uid="{00000000-0005-0000-0000-0000CC070000}"/>
    <cellStyle name="60% - Accent4 6" xfId="1997" xr:uid="{00000000-0005-0000-0000-0000CD070000}"/>
    <cellStyle name="60% - Accent4 6 2" xfId="1998" xr:uid="{00000000-0005-0000-0000-0000CE070000}"/>
    <cellStyle name="60% - Accent4 6 2 2" xfId="1999" xr:uid="{00000000-0005-0000-0000-0000CF070000}"/>
    <cellStyle name="60% - Accent4 6 3" xfId="2000" xr:uid="{00000000-0005-0000-0000-0000D0070000}"/>
    <cellStyle name="60% - Accent4 7" xfId="2001" xr:uid="{00000000-0005-0000-0000-0000D1070000}"/>
    <cellStyle name="60% - Accent4 8" xfId="2002" xr:uid="{00000000-0005-0000-0000-0000D2070000}"/>
    <cellStyle name="60% - Accent5 2" xfId="2003" xr:uid="{00000000-0005-0000-0000-0000D3070000}"/>
    <cellStyle name="60% - Accent5 2 10" xfId="2004" xr:uid="{00000000-0005-0000-0000-0000D4070000}"/>
    <cellStyle name="60% - Accent5 2 2" xfId="2005" xr:uid="{00000000-0005-0000-0000-0000D5070000}"/>
    <cellStyle name="60% - Accent5 2 2 2" xfId="2006" xr:uid="{00000000-0005-0000-0000-0000D6070000}"/>
    <cellStyle name="60% - Accent5 2 2 2 2" xfId="2007" xr:uid="{00000000-0005-0000-0000-0000D7070000}"/>
    <cellStyle name="60% - Accent5 2 2 3" xfId="2008" xr:uid="{00000000-0005-0000-0000-0000D8070000}"/>
    <cellStyle name="60% - Accent5 2 2 3 2" xfId="2009" xr:uid="{00000000-0005-0000-0000-0000D9070000}"/>
    <cellStyle name="60% - Accent5 2 2 3 2 2" xfId="2010" xr:uid="{00000000-0005-0000-0000-0000DA070000}"/>
    <cellStyle name="60% - Accent5 2 2 3 3" xfId="2011" xr:uid="{00000000-0005-0000-0000-0000DB070000}"/>
    <cellStyle name="60% - Accent5 2 2 4" xfId="2012" xr:uid="{00000000-0005-0000-0000-0000DC070000}"/>
    <cellStyle name="60% - Accent5 2 3" xfId="2013" xr:uid="{00000000-0005-0000-0000-0000DD070000}"/>
    <cellStyle name="60% - Accent5 2 3 2" xfId="2014" xr:uid="{00000000-0005-0000-0000-0000DE070000}"/>
    <cellStyle name="60% - Accent5 2 3 2 2" xfId="2015" xr:uid="{00000000-0005-0000-0000-0000DF070000}"/>
    <cellStyle name="60% - Accent5 2 3 3" xfId="2016" xr:uid="{00000000-0005-0000-0000-0000E0070000}"/>
    <cellStyle name="60% - Accent5 2 3 3 2" xfId="2017" xr:uid="{00000000-0005-0000-0000-0000E1070000}"/>
    <cellStyle name="60% - Accent5 2 3 3 2 2" xfId="2018" xr:uid="{00000000-0005-0000-0000-0000E2070000}"/>
    <cellStyle name="60% - Accent5 2 3 3 3" xfId="2019" xr:uid="{00000000-0005-0000-0000-0000E3070000}"/>
    <cellStyle name="60% - Accent5 2 3 4" xfId="2020" xr:uid="{00000000-0005-0000-0000-0000E4070000}"/>
    <cellStyle name="60% - Accent5 2 4" xfId="2021" xr:uid="{00000000-0005-0000-0000-0000E5070000}"/>
    <cellStyle name="60% - Accent5 2 4 2" xfId="2022" xr:uid="{00000000-0005-0000-0000-0000E6070000}"/>
    <cellStyle name="60% - Accent5 2 4 2 2" xfId="2023" xr:uid="{00000000-0005-0000-0000-0000E7070000}"/>
    <cellStyle name="60% - Accent5 2 4 3" xfId="2024" xr:uid="{00000000-0005-0000-0000-0000E8070000}"/>
    <cellStyle name="60% - Accent5 2 5" xfId="2025" xr:uid="{00000000-0005-0000-0000-0000E9070000}"/>
    <cellStyle name="60% - Accent5 2 5 2" xfId="2026" xr:uid="{00000000-0005-0000-0000-0000EA070000}"/>
    <cellStyle name="60% - Accent5 2 5 2 2" xfId="2027" xr:uid="{00000000-0005-0000-0000-0000EB070000}"/>
    <cellStyle name="60% - Accent5 2 5 3" xfId="2028" xr:uid="{00000000-0005-0000-0000-0000EC070000}"/>
    <cellStyle name="60% - Accent5 2 5 3 2" xfId="2029" xr:uid="{00000000-0005-0000-0000-0000ED070000}"/>
    <cellStyle name="60% - Accent5 2 5 3 2 2" xfId="2030" xr:uid="{00000000-0005-0000-0000-0000EE070000}"/>
    <cellStyle name="60% - Accent5 2 5 3 3" xfId="2031" xr:uid="{00000000-0005-0000-0000-0000EF070000}"/>
    <cellStyle name="60% - Accent5 2 5 4" xfId="2032" xr:uid="{00000000-0005-0000-0000-0000F0070000}"/>
    <cellStyle name="60% - Accent5 2 6" xfId="2033" xr:uid="{00000000-0005-0000-0000-0000F1070000}"/>
    <cellStyle name="60% - Accent5 2 6 2" xfId="2034" xr:uid="{00000000-0005-0000-0000-0000F2070000}"/>
    <cellStyle name="60% - Accent5 2 7" xfId="2035" xr:uid="{00000000-0005-0000-0000-0000F3070000}"/>
    <cellStyle name="60% - Accent5 2 7 2" xfId="2036" xr:uid="{00000000-0005-0000-0000-0000F4070000}"/>
    <cellStyle name="60% - Accent5 2 8" xfId="2037" xr:uid="{00000000-0005-0000-0000-0000F5070000}"/>
    <cellStyle name="60% - Accent5 2 8 2" xfId="2038" xr:uid="{00000000-0005-0000-0000-0000F6070000}"/>
    <cellStyle name="60% - Accent5 2 8 2 2" xfId="2039" xr:uid="{00000000-0005-0000-0000-0000F7070000}"/>
    <cellStyle name="60% - Accent5 2 8 3" xfId="2040" xr:uid="{00000000-0005-0000-0000-0000F8070000}"/>
    <cellStyle name="60% - Accent5 2 9" xfId="2041" xr:uid="{00000000-0005-0000-0000-0000F9070000}"/>
    <cellStyle name="60% - Accent5 2 9 2" xfId="2042" xr:uid="{00000000-0005-0000-0000-0000FA070000}"/>
    <cellStyle name="60% - Accent5 2 9 2 2" xfId="2043" xr:uid="{00000000-0005-0000-0000-0000FB070000}"/>
    <cellStyle name="60% - Accent5 2 9 3" xfId="2044" xr:uid="{00000000-0005-0000-0000-0000FC070000}"/>
    <cellStyle name="60% - Accent5 3" xfId="2045" xr:uid="{00000000-0005-0000-0000-0000FD070000}"/>
    <cellStyle name="60% - Accent5 3 2" xfId="2046" xr:uid="{00000000-0005-0000-0000-0000FE070000}"/>
    <cellStyle name="60% - Accent5 3 2 2" xfId="2047" xr:uid="{00000000-0005-0000-0000-0000FF070000}"/>
    <cellStyle name="60% - Accent5 3 3" xfId="2048" xr:uid="{00000000-0005-0000-0000-000000080000}"/>
    <cellStyle name="60% - Accent5 3 3 2" xfId="2049" xr:uid="{00000000-0005-0000-0000-000001080000}"/>
    <cellStyle name="60% - Accent5 3 4" xfId="2050" xr:uid="{00000000-0005-0000-0000-000002080000}"/>
    <cellStyle name="60% - Accent5 3 4 2" xfId="2051" xr:uid="{00000000-0005-0000-0000-000003080000}"/>
    <cellStyle name="60% - Accent5 3 4 2 2" xfId="2052" xr:uid="{00000000-0005-0000-0000-000004080000}"/>
    <cellStyle name="60% - Accent5 3 4 3" xfId="2053" xr:uid="{00000000-0005-0000-0000-000005080000}"/>
    <cellStyle name="60% - Accent5 3 5" xfId="2054" xr:uid="{00000000-0005-0000-0000-000006080000}"/>
    <cellStyle name="60% - Accent5 4" xfId="2055" xr:uid="{00000000-0005-0000-0000-000007080000}"/>
    <cellStyle name="60% - Accent5 4 2" xfId="2056" xr:uid="{00000000-0005-0000-0000-000008080000}"/>
    <cellStyle name="60% - Accent5 4 2 2" xfId="2057" xr:uid="{00000000-0005-0000-0000-000009080000}"/>
    <cellStyle name="60% - Accent5 4 3" xfId="2058" xr:uid="{00000000-0005-0000-0000-00000A080000}"/>
    <cellStyle name="60% - Accent5 4 3 2" xfId="2059" xr:uid="{00000000-0005-0000-0000-00000B080000}"/>
    <cellStyle name="60% - Accent5 4 3 2 2" xfId="2060" xr:uid="{00000000-0005-0000-0000-00000C080000}"/>
    <cellStyle name="60% - Accent5 4 3 3" xfId="2061" xr:uid="{00000000-0005-0000-0000-00000D080000}"/>
    <cellStyle name="60% - Accent5 4 4" xfId="2062" xr:uid="{00000000-0005-0000-0000-00000E080000}"/>
    <cellStyle name="60% - Accent5 5" xfId="2063" xr:uid="{00000000-0005-0000-0000-00000F080000}"/>
    <cellStyle name="60% - Accent5 5 2" xfId="2064" xr:uid="{00000000-0005-0000-0000-000010080000}"/>
    <cellStyle name="60% - Accent5 5 2 2" xfId="2065" xr:uid="{00000000-0005-0000-0000-000011080000}"/>
    <cellStyle name="60% - Accent5 5 3" xfId="2066" xr:uid="{00000000-0005-0000-0000-000012080000}"/>
    <cellStyle name="60% - Accent5 5 3 2" xfId="2067" xr:uid="{00000000-0005-0000-0000-000013080000}"/>
    <cellStyle name="60% - Accent5 5 3 2 2" xfId="2068" xr:uid="{00000000-0005-0000-0000-000014080000}"/>
    <cellStyle name="60% - Accent5 5 3 3" xfId="2069" xr:uid="{00000000-0005-0000-0000-000015080000}"/>
    <cellStyle name="60% - Accent5 5 4" xfId="2070" xr:uid="{00000000-0005-0000-0000-000016080000}"/>
    <cellStyle name="60% - Accent5 6" xfId="2071" xr:uid="{00000000-0005-0000-0000-000017080000}"/>
    <cellStyle name="60% - Accent5 6 2" xfId="2072" xr:uid="{00000000-0005-0000-0000-000018080000}"/>
    <cellStyle name="60% - Accent5 6 2 2" xfId="2073" xr:uid="{00000000-0005-0000-0000-000019080000}"/>
    <cellStyle name="60% - Accent5 6 3" xfId="2074" xr:uid="{00000000-0005-0000-0000-00001A080000}"/>
    <cellStyle name="60% - Accent5 7" xfId="2075" xr:uid="{00000000-0005-0000-0000-00001B080000}"/>
    <cellStyle name="60% - Accent5 8" xfId="2076" xr:uid="{00000000-0005-0000-0000-00001C080000}"/>
    <cellStyle name="60% - Accent6 2" xfId="2077" xr:uid="{00000000-0005-0000-0000-00001D080000}"/>
    <cellStyle name="60% - Accent6 2 10" xfId="2078" xr:uid="{00000000-0005-0000-0000-00001E080000}"/>
    <cellStyle name="60% - Accent6 2 2" xfId="2079" xr:uid="{00000000-0005-0000-0000-00001F080000}"/>
    <cellStyle name="60% - Accent6 2 2 2" xfId="2080" xr:uid="{00000000-0005-0000-0000-000020080000}"/>
    <cellStyle name="60% - Accent6 2 2 2 2" xfId="2081" xr:uid="{00000000-0005-0000-0000-000021080000}"/>
    <cellStyle name="60% - Accent6 2 2 3" xfId="2082" xr:uid="{00000000-0005-0000-0000-000022080000}"/>
    <cellStyle name="60% - Accent6 2 2 3 2" xfId="2083" xr:uid="{00000000-0005-0000-0000-000023080000}"/>
    <cellStyle name="60% - Accent6 2 2 3 2 2" xfId="2084" xr:uid="{00000000-0005-0000-0000-000024080000}"/>
    <cellStyle name="60% - Accent6 2 2 3 3" xfId="2085" xr:uid="{00000000-0005-0000-0000-000025080000}"/>
    <cellStyle name="60% - Accent6 2 2 4" xfId="2086" xr:uid="{00000000-0005-0000-0000-000026080000}"/>
    <cellStyle name="60% - Accent6 2 3" xfId="2087" xr:uid="{00000000-0005-0000-0000-000027080000}"/>
    <cellStyle name="60% - Accent6 2 3 2" xfId="2088" xr:uid="{00000000-0005-0000-0000-000028080000}"/>
    <cellStyle name="60% - Accent6 2 3 2 2" xfId="2089" xr:uid="{00000000-0005-0000-0000-000029080000}"/>
    <cellStyle name="60% - Accent6 2 3 3" xfId="2090" xr:uid="{00000000-0005-0000-0000-00002A080000}"/>
    <cellStyle name="60% - Accent6 2 3 3 2" xfId="2091" xr:uid="{00000000-0005-0000-0000-00002B080000}"/>
    <cellStyle name="60% - Accent6 2 3 3 2 2" xfId="2092" xr:uid="{00000000-0005-0000-0000-00002C080000}"/>
    <cellStyle name="60% - Accent6 2 3 3 3" xfId="2093" xr:uid="{00000000-0005-0000-0000-00002D080000}"/>
    <cellStyle name="60% - Accent6 2 3 4" xfId="2094" xr:uid="{00000000-0005-0000-0000-00002E080000}"/>
    <cellStyle name="60% - Accent6 2 4" xfId="2095" xr:uid="{00000000-0005-0000-0000-00002F080000}"/>
    <cellStyle name="60% - Accent6 2 4 2" xfId="2096" xr:uid="{00000000-0005-0000-0000-000030080000}"/>
    <cellStyle name="60% - Accent6 2 4 2 2" xfId="2097" xr:uid="{00000000-0005-0000-0000-000031080000}"/>
    <cellStyle name="60% - Accent6 2 4 3" xfId="2098" xr:uid="{00000000-0005-0000-0000-000032080000}"/>
    <cellStyle name="60% - Accent6 2 5" xfId="2099" xr:uid="{00000000-0005-0000-0000-000033080000}"/>
    <cellStyle name="60% - Accent6 2 5 2" xfId="2100" xr:uid="{00000000-0005-0000-0000-000034080000}"/>
    <cellStyle name="60% - Accent6 2 5 2 2" xfId="2101" xr:uid="{00000000-0005-0000-0000-000035080000}"/>
    <cellStyle name="60% - Accent6 2 5 3" xfId="2102" xr:uid="{00000000-0005-0000-0000-000036080000}"/>
    <cellStyle name="60% - Accent6 2 5 3 2" xfId="2103" xr:uid="{00000000-0005-0000-0000-000037080000}"/>
    <cellStyle name="60% - Accent6 2 5 3 2 2" xfId="2104" xr:uid="{00000000-0005-0000-0000-000038080000}"/>
    <cellStyle name="60% - Accent6 2 5 3 3" xfId="2105" xr:uid="{00000000-0005-0000-0000-000039080000}"/>
    <cellStyle name="60% - Accent6 2 5 4" xfId="2106" xr:uid="{00000000-0005-0000-0000-00003A080000}"/>
    <cellStyle name="60% - Accent6 2 6" xfId="2107" xr:uid="{00000000-0005-0000-0000-00003B080000}"/>
    <cellStyle name="60% - Accent6 2 6 2" xfId="2108" xr:uid="{00000000-0005-0000-0000-00003C080000}"/>
    <cellStyle name="60% - Accent6 2 7" xfId="2109" xr:uid="{00000000-0005-0000-0000-00003D080000}"/>
    <cellStyle name="60% - Accent6 2 7 2" xfId="2110" xr:uid="{00000000-0005-0000-0000-00003E080000}"/>
    <cellStyle name="60% - Accent6 2 8" xfId="2111" xr:uid="{00000000-0005-0000-0000-00003F080000}"/>
    <cellStyle name="60% - Accent6 2 8 2" xfId="2112" xr:uid="{00000000-0005-0000-0000-000040080000}"/>
    <cellStyle name="60% - Accent6 2 8 2 2" xfId="2113" xr:uid="{00000000-0005-0000-0000-000041080000}"/>
    <cellStyle name="60% - Accent6 2 8 3" xfId="2114" xr:uid="{00000000-0005-0000-0000-000042080000}"/>
    <cellStyle name="60% - Accent6 2 9" xfId="2115" xr:uid="{00000000-0005-0000-0000-000043080000}"/>
    <cellStyle name="60% - Accent6 2 9 2" xfId="2116" xr:uid="{00000000-0005-0000-0000-000044080000}"/>
    <cellStyle name="60% - Accent6 2 9 2 2" xfId="2117" xr:uid="{00000000-0005-0000-0000-000045080000}"/>
    <cellStyle name="60% - Accent6 2 9 3" xfId="2118" xr:uid="{00000000-0005-0000-0000-000046080000}"/>
    <cellStyle name="60% - Accent6 3" xfId="2119" xr:uid="{00000000-0005-0000-0000-000047080000}"/>
    <cellStyle name="60% - Accent6 3 2" xfId="2120" xr:uid="{00000000-0005-0000-0000-000048080000}"/>
    <cellStyle name="60% - Accent6 3 2 2" xfId="2121" xr:uid="{00000000-0005-0000-0000-000049080000}"/>
    <cellStyle name="60% - Accent6 3 3" xfId="2122" xr:uid="{00000000-0005-0000-0000-00004A080000}"/>
    <cellStyle name="60% - Accent6 3 3 2" xfId="2123" xr:uid="{00000000-0005-0000-0000-00004B080000}"/>
    <cellStyle name="60% - Accent6 3 4" xfId="2124" xr:uid="{00000000-0005-0000-0000-00004C080000}"/>
    <cellStyle name="60% - Accent6 3 4 2" xfId="2125" xr:uid="{00000000-0005-0000-0000-00004D080000}"/>
    <cellStyle name="60% - Accent6 3 4 2 2" xfId="2126" xr:uid="{00000000-0005-0000-0000-00004E080000}"/>
    <cellStyle name="60% - Accent6 3 4 3" xfId="2127" xr:uid="{00000000-0005-0000-0000-00004F080000}"/>
    <cellStyle name="60% - Accent6 3 5" xfId="2128" xr:uid="{00000000-0005-0000-0000-000050080000}"/>
    <cellStyle name="60% - Accent6 4" xfId="2129" xr:uid="{00000000-0005-0000-0000-000051080000}"/>
    <cellStyle name="60% - Accent6 4 2" xfId="2130" xr:uid="{00000000-0005-0000-0000-000052080000}"/>
    <cellStyle name="60% - Accent6 4 2 2" xfId="2131" xr:uid="{00000000-0005-0000-0000-000053080000}"/>
    <cellStyle name="60% - Accent6 4 3" xfId="2132" xr:uid="{00000000-0005-0000-0000-000054080000}"/>
    <cellStyle name="60% - Accent6 4 3 2" xfId="2133" xr:uid="{00000000-0005-0000-0000-000055080000}"/>
    <cellStyle name="60% - Accent6 4 3 2 2" xfId="2134" xr:uid="{00000000-0005-0000-0000-000056080000}"/>
    <cellStyle name="60% - Accent6 4 3 3" xfId="2135" xr:uid="{00000000-0005-0000-0000-000057080000}"/>
    <cellStyle name="60% - Accent6 4 4" xfId="2136" xr:uid="{00000000-0005-0000-0000-000058080000}"/>
    <cellStyle name="60% - Accent6 5" xfId="2137" xr:uid="{00000000-0005-0000-0000-000059080000}"/>
    <cellStyle name="60% - Accent6 5 2" xfId="2138" xr:uid="{00000000-0005-0000-0000-00005A080000}"/>
    <cellStyle name="60% - Accent6 5 2 2" xfId="2139" xr:uid="{00000000-0005-0000-0000-00005B080000}"/>
    <cellStyle name="60% - Accent6 5 3" xfId="2140" xr:uid="{00000000-0005-0000-0000-00005C080000}"/>
    <cellStyle name="60% - Accent6 5 3 2" xfId="2141" xr:uid="{00000000-0005-0000-0000-00005D080000}"/>
    <cellStyle name="60% - Accent6 5 3 2 2" xfId="2142" xr:uid="{00000000-0005-0000-0000-00005E080000}"/>
    <cellStyle name="60% - Accent6 5 3 3" xfId="2143" xr:uid="{00000000-0005-0000-0000-00005F080000}"/>
    <cellStyle name="60% - Accent6 5 4" xfId="2144" xr:uid="{00000000-0005-0000-0000-000060080000}"/>
    <cellStyle name="60% - Accent6 6" xfId="2145" xr:uid="{00000000-0005-0000-0000-000061080000}"/>
    <cellStyle name="60% - Accent6 6 2" xfId="2146" xr:uid="{00000000-0005-0000-0000-000062080000}"/>
    <cellStyle name="60% - Accent6 6 2 2" xfId="2147" xr:uid="{00000000-0005-0000-0000-000063080000}"/>
    <cellStyle name="60% - Accent6 6 3" xfId="2148" xr:uid="{00000000-0005-0000-0000-000064080000}"/>
    <cellStyle name="60% - Accent6 7" xfId="2149" xr:uid="{00000000-0005-0000-0000-000065080000}"/>
    <cellStyle name="60% - Accent6 8" xfId="2150" xr:uid="{00000000-0005-0000-0000-000066080000}"/>
    <cellStyle name="Accent1 - 20%" xfId="2151" xr:uid="{00000000-0005-0000-0000-000067080000}"/>
    <cellStyle name="Accent1 - 20% 10" xfId="2152" xr:uid="{00000000-0005-0000-0000-000068080000}"/>
    <cellStyle name="Accent1 - 20% 11" xfId="2153" xr:uid="{00000000-0005-0000-0000-000069080000}"/>
    <cellStyle name="Accent1 - 20% 2" xfId="2154" xr:uid="{00000000-0005-0000-0000-00006A080000}"/>
    <cellStyle name="Accent1 - 20% 2 2" xfId="2155" xr:uid="{00000000-0005-0000-0000-00006B080000}"/>
    <cellStyle name="Accent1 - 20% 2 2 2" xfId="2156" xr:uid="{00000000-0005-0000-0000-00006C080000}"/>
    <cellStyle name="Accent1 - 20% 2 2 2 2" xfId="2157" xr:uid="{00000000-0005-0000-0000-00006D080000}"/>
    <cellStyle name="Accent1 - 20% 2 2 3" xfId="2158" xr:uid="{00000000-0005-0000-0000-00006E080000}"/>
    <cellStyle name="Accent1 - 20% 2 3" xfId="2159" xr:uid="{00000000-0005-0000-0000-00006F080000}"/>
    <cellStyle name="Accent1 - 20% 2 3 2" xfId="2160" xr:uid="{00000000-0005-0000-0000-000070080000}"/>
    <cellStyle name="Accent1 - 20% 2 3 2 2" xfId="2161" xr:uid="{00000000-0005-0000-0000-000071080000}"/>
    <cellStyle name="Accent1 - 20% 2 3 2 2 2" xfId="2162" xr:uid="{00000000-0005-0000-0000-000072080000}"/>
    <cellStyle name="Accent1 - 20% 2 3 2 3" xfId="2163" xr:uid="{00000000-0005-0000-0000-000073080000}"/>
    <cellStyle name="Accent1 - 20% 2 3 3" xfId="2164" xr:uid="{00000000-0005-0000-0000-000074080000}"/>
    <cellStyle name="Accent1 - 20% 2 3 3 2" xfId="2165" xr:uid="{00000000-0005-0000-0000-000075080000}"/>
    <cellStyle name="Accent1 - 20% 2 3 4" xfId="2166" xr:uid="{00000000-0005-0000-0000-000076080000}"/>
    <cellStyle name="Accent1 - 20% 2 4" xfId="2167" xr:uid="{00000000-0005-0000-0000-000077080000}"/>
    <cellStyle name="Accent1 - 20% 2 4 2" xfId="2168" xr:uid="{00000000-0005-0000-0000-000078080000}"/>
    <cellStyle name="Accent1 - 20% 2 4 2 2" xfId="2169" xr:uid="{00000000-0005-0000-0000-000079080000}"/>
    <cellStyle name="Accent1 - 20% 2 4 2 2 2" xfId="2170" xr:uid="{00000000-0005-0000-0000-00007A080000}"/>
    <cellStyle name="Accent1 - 20% 2 4 2 3" xfId="2171" xr:uid="{00000000-0005-0000-0000-00007B080000}"/>
    <cellStyle name="Accent1 - 20% 2 4 3" xfId="2172" xr:uid="{00000000-0005-0000-0000-00007C080000}"/>
    <cellStyle name="Accent1 - 20% 2 4 3 2" xfId="2173" xr:uid="{00000000-0005-0000-0000-00007D080000}"/>
    <cellStyle name="Accent1 - 20% 2 4 4" xfId="2174" xr:uid="{00000000-0005-0000-0000-00007E080000}"/>
    <cellStyle name="Accent1 - 20% 2 5" xfId="2175" xr:uid="{00000000-0005-0000-0000-00007F080000}"/>
    <cellStyle name="Accent1 - 20% 2 5 2" xfId="2176" xr:uid="{00000000-0005-0000-0000-000080080000}"/>
    <cellStyle name="Accent1 - 20% 2 6" xfId="2177" xr:uid="{00000000-0005-0000-0000-000081080000}"/>
    <cellStyle name="Accent1 - 20% 2 6 2" xfId="2178" xr:uid="{00000000-0005-0000-0000-000082080000}"/>
    <cellStyle name="Accent1 - 20% 2 7" xfId="2179" xr:uid="{00000000-0005-0000-0000-000083080000}"/>
    <cellStyle name="Accent1 - 20% 3" xfId="2180" xr:uid="{00000000-0005-0000-0000-000084080000}"/>
    <cellStyle name="Accent1 - 20% 3 2" xfId="2181" xr:uid="{00000000-0005-0000-0000-000085080000}"/>
    <cellStyle name="Accent1 - 20% 3 2 2" xfId="2182" xr:uid="{00000000-0005-0000-0000-000086080000}"/>
    <cellStyle name="Accent1 - 20% 3 2 2 2" xfId="2183" xr:uid="{00000000-0005-0000-0000-000087080000}"/>
    <cellStyle name="Accent1 - 20% 3 2 3" xfId="2184" xr:uid="{00000000-0005-0000-0000-000088080000}"/>
    <cellStyle name="Accent1 - 20% 3 3" xfId="2185" xr:uid="{00000000-0005-0000-0000-000089080000}"/>
    <cellStyle name="Accent1 - 20% 3 3 2" xfId="2186" xr:uid="{00000000-0005-0000-0000-00008A080000}"/>
    <cellStyle name="Accent1 - 20% 3 4" xfId="2187" xr:uid="{00000000-0005-0000-0000-00008B080000}"/>
    <cellStyle name="Accent1 - 20% 4" xfId="2188" xr:uid="{00000000-0005-0000-0000-00008C080000}"/>
    <cellStyle name="Accent1 - 20% 4 2" xfId="2189" xr:uid="{00000000-0005-0000-0000-00008D080000}"/>
    <cellStyle name="Accent1 - 20% 4 2 2" xfId="2190" xr:uid="{00000000-0005-0000-0000-00008E080000}"/>
    <cellStyle name="Accent1 - 20% 4 3" xfId="2191" xr:uid="{00000000-0005-0000-0000-00008F080000}"/>
    <cellStyle name="Accent1 - 20% 5" xfId="2192" xr:uid="{00000000-0005-0000-0000-000090080000}"/>
    <cellStyle name="Accent1 - 20% 5 2" xfId="2193" xr:uid="{00000000-0005-0000-0000-000091080000}"/>
    <cellStyle name="Accent1 - 20% 5 2 2" xfId="2194" xr:uid="{00000000-0005-0000-0000-000092080000}"/>
    <cellStyle name="Accent1 - 20% 5 3" xfId="2195" xr:uid="{00000000-0005-0000-0000-000093080000}"/>
    <cellStyle name="Accent1 - 20% 6" xfId="2196" xr:uid="{00000000-0005-0000-0000-000094080000}"/>
    <cellStyle name="Accent1 - 20% 6 2" xfId="2197" xr:uid="{00000000-0005-0000-0000-000095080000}"/>
    <cellStyle name="Accent1 - 20% 7" xfId="2198" xr:uid="{00000000-0005-0000-0000-000096080000}"/>
    <cellStyle name="Accent1 - 20% 7 2" xfId="2199" xr:uid="{00000000-0005-0000-0000-000097080000}"/>
    <cellStyle name="Accent1 - 20% 8" xfId="2200" xr:uid="{00000000-0005-0000-0000-000098080000}"/>
    <cellStyle name="Accent1 - 20% 8 2" xfId="2201" xr:uid="{00000000-0005-0000-0000-000099080000}"/>
    <cellStyle name="Accent1 - 20% 9" xfId="2202" xr:uid="{00000000-0005-0000-0000-00009A080000}"/>
    <cellStyle name="Accent1 - 20% 9 2" xfId="2203" xr:uid="{00000000-0005-0000-0000-00009B080000}"/>
    <cellStyle name="Accent1 - 40%" xfId="2204" xr:uid="{00000000-0005-0000-0000-00009C080000}"/>
    <cellStyle name="Accent1 - 40% 10" xfId="2205" xr:uid="{00000000-0005-0000-0000-00009D080000}"/>
    <cellStyle name="Accent1 - 40% 11" xfId="2206" xr:uid="{00000000-0005-0000-0000-00009E080000}"/>
    <cellStyle name="Accent1 - 40% 2" xfId="2207" xr:uid="{00000000-0005-0000-0000-00009F080000}"/>
    <cellStyle name="Accent1 - 40% 2 2" xfId="2208" xr:uid="{00000000-0005-0000-0000-0000A0080000}"/>
    <cellStyle name="Accent1 - 40% 2 2 2" xfId="2209" xr:uid="{00000000-0005-0000-0000-0000A1080000}"/>
    <cellStyle name="Accent1 - 40% 2 2 2 2" xfId="2210" xr:uid="{00000000-0005-0000-0000-0000A2080000}"/>
    <cellStyle name="Accent1 - 40% 2 2 3" xfId="2211" xr:uid="{00000000-0005-0000-0000-0000A3080000}"/>
    <cellStyle name="Accent1 - 40% 2 3" xfId="2212" xr:uid="{00000000-0005-0000-0000-0000A4080000}"/>
    <cellStyle name="Accent1 - 40% 2 3 2" xfId="2213" xr:uid="{00000000-0005-0000-0000-0000A5080000}"/>
    <cellStyle name="Accent1 - 40% 2 3 2 2" xfId="2214" xr:uid="{00000000-0005-0000-0000-0000A6080000}"/>
    <cellStyle name="Accent1 - 40% 2 3 2 2 2" xfId="2215" xr:uid="{00000000-0005-0000-0000-0000A7080000}"/>
    <cellStyle name="Accent1 - 40% 2 3 2 3" xfId="2216" xr:uid="{00000000-0005-0000-0000-0000A8080000}"/>
    <cellStyle name="Accent1 - 40% 2 3 3" xfId="2217" xr:uid="{00000000-0005-0000-0000-0000A9080000}"/>
    <cellStyle name="Accent1 - 40% 2 3 3 2" xfId="2218" xr:uid="{00000000-0005-0000-0000-0000AA080000}"/>
    <cellStyle name="Accent1 - 40% 2 3 4" xfId="2219" xr:uid="{00000000-0005-0000-0000-0000AB080000}"/>
    <cellStyle name="Accent1 - 40% 2 4" xfId="2220" xr:uid="{00000000-0005-0000-0000-0000AC080000}"/>
    <cellStyle name="Accent1 - 40% 2 4 2" xfId="2221" xr:uid="{00000000-0005-0000-0000-0000AD080000}"/>
    <cellStyle name="Accent1 - 40% 2 4 2 2" xfId="2222" xr:uid="{00000000-0005-0000-0000-0000AE080000}"/>
    <cellStyle name="Accent1 - 40% 2 4 2 2 2" xfId="2223" xr:uid="{00000000-0005-0000-0000-0000AF080000}"/>
    <cellStyle name="Accent1 - 40% 2 4 2 3" xfId="2224" xr:uid="{00000000-0005-0000-0000-0000B0080000}"/>
    <cellStyle name="Accent1 - 40% 2 4 3" xfId="2225" xr:uid="{00000000-0005-0000-0000-0000B1080000}"/>
    <cellStyle name="Accent1 - 40% 2 4 3 2" xfId="2226" xr:uid="{00000000-0005-0000-0000-0000B2080000}"/>
    <cellStyle name="Accent1 - 40% 2 4 4" xfId="2227" xr:uid="{00000000-0005-0000-0000-0000B3080000}"/>
    <cellStyle name="Accent1 - 40% 2 5" xfId="2228" xr:uid="{00000000-0005-0000-0000-0000B4080000}"/>
    <cellStyle name="Accent1 - 40% 2 5 2" xfId="2229" xr:uid="{00000000-0005-0000-0000-0000B5080000}"/>
    <cellStyle name="Accent1 - 40% 2 6" xfId="2230" xr:uid="{00000000-0005-0000-0000-0000B6080000}"/>
    <cellStyle name="Accent1 - 40% 2 6 2" xfId="2231" xr:uid="{00000000-0005-0000-0000-0000B7080000}"/>
    <cellStyle name="Accent1 - 40% 2 7" xfId="2232" xr:uid="{00000000-0005-0000-0000-0000B8080000}"/>
    <cellStyle name="Accent1 - 40% 3" xfId="2233" xr:uid="{00000000-0005-0000-0000-0000B9080000}"/>
    <cellStyle name="Accent1 - 40% 3 2" xfId="2234" xr:uid="{00000000-0005-0000-0000-0000BA080000}"/>
    <cellStyle name="Accent1 - 40% 3 2 2" xfId="2235" xr:uid="{00000000-0005-0000-0000-0000BB080000}"/>
    <cellStyle name="Accent1 - 40% 3 2 2 2" xfId="2236" xr:uid="{00000000-0005-0000-0000-0000BC080000}"/>
    <cellStyle name="Accent1 - 40% 3 2 3" xfId="2237" xr:uid="{00000000-0005-0000-0000-0000BD080000}"/>
    <cellStyle name="Accent1 - 40% 3 3" xfId="2238" xr:uid="{00000000-0005-0000-0000-0000BE080000}"/>
    <cellStyle name="Accent1 - 40% 3 3 2" xfId="2239" xr:uid="{00000000-0005-0000-0000-0000BF080000}"/>
    <cellStyle name="Accent1 - 40% 3 4" xfId="2240" xr:uid="{00000000-0005-0000-0000-0000C0080000}"/>
    <cellStyle name="Accent1 - 40% 4" xfId="2241" xr:uid="{00000000-0005-0000-0000-0000C1080000}"/>
    <cellStyle name="Accent1 - 40% 4 2" xfId="2242" xr:uid="{00000000-0005-0000-0000-0000C2080000}"/>
    <cellStyle name="Accent1 - 40% 4 2 2" xfId="2243" xr:uid="{00000000-0005-0000-0000-0000C3080000}"/>
    <cellStyle name="Accent1 - 40% 4 3" xfId="2244" xr:uid="{00000000-0005-0000-0000-0000C4080000}"/>
    <cellStyle name="Accent1 - 40% 5" xfId="2245" xr:uid="{00000000-0005-0000-0000-0000C5080000}"/>
    <cellStyle name="Accent1 - 40% 5 2" xfId="2246" xr:uid="{00000000-0005-0000-0000-0000C6080000}"/>
    <cellStyle name="Accent1 - 40% 5 2 2" xfId="2247" xr:uid="{00000000-0005-0000-0000-0000C7080000}"/>
    <cellStyle name="Accent1 - 40% 5 3" xfId="2248" xr:uid="{00000000-0005-0000-0000-0000C8080000}"/>
    <cellStyle name="Accent1 - 40% 6" xfId="2249" xr:uid="{00000000-0005-0000-0000-0000C9080000}"/>
    <cellStyle name="Accent1 - 40% 6 2" xfId="2250" xr:uid="{00000000-0005-0000-0000-0000CA080000}"/>
    <cellStyle name="Accent1 - 40% 7" xfId="2251" xr:uid="{00000000-0005-0000-0000-0000CB080000}"/>
    <cellStyle name="Accent1 - 40% 7 2" xfId="2252" xr:uid="{00000000-0005-0000-0000-0000CC080000}"/>
    <cellStyle name="Accent1 - 40% 8" xfId="2253" xr:uid="{00000000-0005-0000-0000-0000CD080000}"/>
    <cellStyle name="Accent1 - 40% 8 2" xfId="2254" xr:uid="{00000000-0005-0000-0000-0000CE080000}"/>
    <cellStyle name="Accent1 - 40% 9" xfId="2255" xr:uid="{00000000-0005-0000-0000-0000CF080000}"/>
    <cellStyle name="Accent1 - 40% 9 2" xfId="2256" xr:uid="{00000000-0005-0000-0000-0000D0080000}"/>
    <cellStyle name="Accent1 - 60%" xfId="2257" xr:uid="{00000000-0005-0000-0000-0000D1080000}"/>
    <cellStyle name="Accent1 - 60% 10" xfId="2258" xr:uid="{00000000-0005-0000-0000-0000D2080000}"/>
    <cellStyle name="Accent1 - 60% 2" xfId="2259" xr:uid="{00000000-0005-0000-0000-0000D3080000}"/>
    <cellStyle name="Accent1 - 60% 2 2" xfId="2260" xr:uid="{00000000-0005-0000-0000-0000D4080000}"/>
    <cellStyle name="Accent1 - 60% 2 2 2" xfId="2261" xr:uid="{00000000-0005-0000-0000-0000D5080000}"/>
    <cellStyle name="Accent1 - 60% 2 3" xfId="2262" xr:uid="{00000000-0005-0000-0000-0000D6080000}"/>
    <cellStyle name="Accent1 - 60% 2 3 2" xfId="2263" xr:uid="{00000000-0005-0000-0000-0000D7080000}"/>
    <cellStyle name="Accent1 - 60% 2 3 2 2" xfId="2264" xr:uid="{00000000-0005-0000-0000-0000D8080000}"/>
    <cellStyle name="Accent1 - 60% 2 3 3" xfId="2265" xr:uid="{00000000-0005-0000-0000-0000D9080000}"/>
    <cellStyle name="Accent1 - 60% 2 4" xfId="2266" xr:uid="{00000000-0005-0000-0000-0000DA080000}"/>
    <cellStyle name="Accent1 - 60% 2 4 2" xfId="2267" xr:uid="{00000000-0005-0000-0000-0000DB080000}"/>
    <cellStyle name="Accent1 - 60% 2 4 2 2" xfId="2268" xr:uid="{00000000-0005-0000-0000-0000DC080000}"/>
    <cellStyle name="Accent1 - 60% 2 4 3" xfId="2269" xr:uid="{00000000-0005-0000-0000-0000DD080000}"/>
    <cellStyle name="Accent1 - 60% 2 5" xfId="2270" xr:uid="{00000000-0005-0000-0000-0000DE080000}"/>
    <cellStyle name="Accent1 - 60% 3" xfId="2271" xr:uid="{00000000-0005-0000-0000-0000DF080000}"/>
    <cellStyle name="Accent1 - 60% 3 2" xfId="2272" xr:uid="{00000000-0005-0000-0000-0000E0080000}"/>
    <cellStyle name="Accent1 - 60% 3 2 2" xfId="2273" xr:uid="{00000000-0005-0000-0000-0000E1080000}"/>
    <cellStyle name="Accent1 - 60% 3 3" xfId="2274" xr:uid="{00000000-0005-0000-0000-0000E2080000}"/>
    <cellStyle name="Accent1 - 60% 4" xfId="2275" xr:uid="{00000000-0005-0000-0000-0000E3080000}"/>
    <cellStyle name="Accent1 - 60% 4 2" xfId="2276" xr:uid="{00000000-0005-0000-0000-0000E4080000}"/>
    <cellStyle name="Accent1 - 60% 5" xfId="2277" xr:uid="{00000000-0005-0000-0000-0000E5080000}"/>
    <cellStyle name="Accent1 - 60% 5 2" xfId="2278" xr:uid="{00000000-0005-0000-0000-0000E6080000}"/>
    <cellStyle name="Accent1 - 60% 6" xfId="2279" xr:uid="{00000000-0005-0000-0000-0000E7080000}"/>
    <cellStyle name="Accent1 - 60% 6 2" xfId="2280" xr:uid="{00000000-0005-0000-0000-0000E8080000}"/>
    <cellStyle name="Accent1 - 60% 6 2 2" xfId="2281" xr:uid="{00000000-0005-0000-0000-0000E9080000}"/>
    <cellStyle name="Accent1 - 60% 6 3" xfId="2282" xr:uid="{00000000-0005-0000-0000-0000EA080000}"/>
    <cellStyle name="Accent1 - 60% 7" xfId="2283" xr:uid="{00000000-0005-0000-0000-0000EB080000}"/>
    <cellStyle name="Accent1 - 60% 7 2" xfId="2284" xr:uid="{00000000-0005-0000-0000-0000EC080000}"/>
    <cellStyle name="Accent1 - 60% 8" xfId="2285" xr:uid="{00000000-0005-0000-0000-0000ED080000}"/>
    <cellStyle name="Accent1 - 60% 8 2" xfId="2286" xr:uid="{00000000-0005-0000-0000-0000EE080000}"/>
    <cellStyle name="Accent1 - 60% 9" xfId="2287" xr:uid="{00000000-0005-0000-0000-0000EF080000}"/>
    <cellStyle name="Accent1 10" xfId="2288" xr:uid="{00000000-0005-0000-0000-0000F0080000}"/>
    <cellStyle name="Accent1 10 2" xfId="2289" xr:uid="{00000000-0005-0000-0000-0000F1080000}"/>
    <cellStyle name="Accent1 10 2 2" xfId="2290" xr:uid="{00000000-0005-0000-0000-0000F2080000}"/>
    <cellStyle name="Accent1 10 3" xfId="2291" xr:uid="{00000000-0005-0000-0000-0000F3080000}"/>
    <cellStyle name="Accent1 100" xfId="2292" xr:uid="{00000000-0005-0000-0000-0000F4080000}"/>
    <cellStyle name="Accent1 100 2" xfId="2293" xr:uid="{00000000-0005-0000-0000-0000F5080000}"/>
    <cellStyle name="Accent1 100 2 2" xfId="2294" xr:uid="{00000000-0005-0000-0000-0000F6080000}"/>
    <cellStyle name="Accent1 100 3" xfId="2295" xr:uid="{00000000-0005-0000-0000-0000F7080000}"/>
    <cellStyle name="Accent1 101" xfId="2296" xr:uid="{00000000-0005-0000-0000-0000F8080000}"/>
    <cellStyle name="Accent1 101 2" xfId="2297" xr:uid="{00000000-0005-0000-0000-0000F9080000}"/>
    <cellStyle name="Accent1 101 2 2" xfId="2298" xr:uid="{00000000-0005-0000-0000-0000FA080000}"/>
    <cellStyle name="Accent1 101 3" xfId="2299" xr:uid="{00000000-0005-0000-0000-0000FB080000}"/>
    <cellStyle name="Accent1 102" xfId="2300" xr:uid="{00000000-0005-0000-0000-0000FC080000}"/>
    <cellStyle name="Accent1 102 2" xfId="2301" xr:uid="{00000000-0005-0000-0000-0000FD080000}"/>
    <cellStyle name="Accent1 103" xfId="2302" xr:uid="{00000000-0005-0000-0000-0000FE080000}"/>
    <cellStyle name="Accent1 103 2" xfId="2303" xr:uid="{00000000-0005-0000-0000-0000FF080000}"/>
    <cellStyle name="Accent1 104" xfId="2304" xr:uid="{00000000-0005-0000-0000-000000090000}"/>
    <cellStyle name="Accent1 104 2" xfId="2305" xr:uid="{00000000-0005-0000-0000-000001090000}"/>
    <cellStyle name="Accent1 104 2 2" xfId="2306" xr:uid="{00000000-0005-0000-0000-000002090000}"/>
    <cellStyle name="Accent1 104 3" xfId="2307" xr:uid="{00000000-0005-0000-0000-000003090000}"/>
    <cellStyle name="Accent1 105" xfId="2308" xr:uid="{00000000-0005-0000-0000-000004090000}"/>
    <cellStyle name="Accent1 105 2" xfId="2309" xr:uid="{00000000-0005-0000-0000-000005090000}"/>
    <cellStyle name="Accent1 105 2 2" xfId="2310" xr:uid="{00000000-0005-0000-0000-000006090000}"/>
    <cellStyle name="Accent1 105 3" xfId="2311" xr:uid="{00000000-0005-0000-0000-000007090000}"/>
    <cellStyle name="Accent1 106" xfId="2312" xr:uid="{00000000-0005-0000-0000-000008090000}"/>
    <cellStyle name="Accent1 106 2" xfId="2313" xr:uid="{00000000-0005-0000-0000-000009090000}"/>
    <cellStyle name="Accent1 106 2 2" xfId="2314" xr:uid="{00000000-0005-0000-0000-00000A090000}"/>
    <cellStyle name="Accent1 106 3" xfId="2315" xr:uid="{00000000-0005-0000-0000-00000B090000}"/>
    <cellStyle name="Accent1 107" xfId="2316" xr:uid="{00000000-0005-0000-0000-00000C090000}"/>
    <cellStyle name="Accent1 107 2" xfId="2317" xr:uid="{00000000-0005-0000-0000-00000D090000}"/>
    <cellStyle name="Accent1 107 2 2" xfId="2318" xr:uid="{00000000-0005-0000-0000-00000E090000}"/>
    <cellStyle name="Accent1 107 3" xfId="2319" xr:uid="{00000000-0005-0000-0000-00000F090000}"/>
    <cellStyle name="Accent1 108" xfId="2320" xr:uid="{00000000-0005-0000-0000-000010090000}"/>
    <cellStyle name="Accent1 108 2" xfId="2321" xr:uid="{00000000-0005-0000-0000-000011090000}"/>
    <cellStyle name="Accent1 108 2 2" xfId="2322" xr:uid="{00000000-0005-0000-0000-000012090000}"/>
    <cellStyle name="Accent1 108 3" xfId="2323" xr:uid="{00000000-0005-0000-0000-000013090000}"/>
    <cellStyle name="Accent1 109" xfId="2324" xr:uid="{00000000-0005-0000-0000-000014090000}"/>
    <cellStyle name="Accent1 109 2" xfId="2325" xr:uid="{00000000-0005-0000-0000-000015090000}"/>
    <cellStyle name="Accent1 109 2 2" xfId="2326" xr:uid="{00000000-0005-0000-0000-000016090000}"/>
    <cellStyle name="Accent1 109 3" xfId="2327" xr:uid="{00000000-0005-0000-0000-000017090000}"/>
    <cellStyle name="Accent1 11" xfId="2328" xr:uid="{00000000-0005-0000-0000-000018090000}"/>
    <cellStyle name="Accent1 11 2" xfId="2329" xr:uid="{00000000-0005-0000-0000-000019090000}"/>
    <cellStyle name="Accent1 11 2 2" xfId="2330" xr:uid="{00000000-0005-0000-0000-00001A090000}"/>
    <cellStyle name="Accent1 11 3" xfId="2331" xr:uid="{00000000-0005-0000-0000-00001B090000}"/>
    <cellStyle name="Accent1 110" xfId="2332" xr:uid="{00000000-0005-0000-0000-00001C090000}"/>
    <cellStyle name="Accent1 110 2" xfId="2333" xr:uid="{00000000-0005-0000-0000-00001D090000}"/>
    <cellStyle name="Accent1 110 2 2" xfId="2334" xr:uid="{00000000-0005-0000-0000-00001E090000}"/>
    <cellStyle name="Accent1 110 3" xfId="2335" xr:uid="{00000000-0005-0000-0000-00001F090000}"/>
    <cellStyle name="Accent1 111" xfId="2336" xr:uid="{00000000-0005-0000-0000-000020090000}"/>
    <cellStyle name="Accent1 111 2" xfId="2337" xr:uid="{00000000-0005-0000-0000-000021090000}"/>
    <cellStyle name="Accent1 111 2 2" xfId="2338" xr:uid="{00000000-0005-0000-0000-000022090000}"/>
    <cellStyle name="Accent1 111 3" xfId="2339" xr:uid="{00000000-0005-0000-0000-000023090000}"/>
    <cellStyle name="Accent1 112" xfId="2340" xr:uid="{00000000-0005-0000-0000-000024090000}"/>
    <cellStyle name="Accent1 112 2" xfId="2341" xr:uid="{00000000-0005-0000-0000-000025090000}"/>
    <cellStyle name="Accent1 112 2 2" xfId="2342" xr:uid="{00000000-0005-0000-0000-000026090000}"/>
    <cellStyle name="Accent1 112 3" xfId="2343" xr:uid="{00000000-0005-0000-0000-000027090000}"/>
    <cellStyle name="Accent1 113" xfId="2344" xr:uid="{00000000-0005-0000-0000-000028090000}"/>
    <cellStyle name="Accent1 113 2" xfId="2345" xr:uid="{00000000-0005-0000-0000-000029090000}"/>
    <cellStyle name="Accent1 113 2 2" xfId="2346" xr:uid="{00000000-0005-0000-0000-00002A090000}"/>
    <cellStyle name="Accent1 113 3" xfId="2347" xr:uid="{00000000-0005-0000-0000-00002B090000}"/>
    <cellStyle name="Accent1 114" xfId="2348" xr:uid="{00000000-0005-0000-0000-00002C090000}"/>
    <cellStyle name="Accent1 114 2" xfId="2349" xr:uid="{00000000-0005-0000-0000-00002D090000}"/>
    <cellStyle name="Accent1 115" xfId="2350" xr:uid="{00000000-0005-0000-0000-00002E090000}"/>
    <cellStyle name="Accent1 115 2" xfId="2351" xr:uid="{00000000-0005-0000-0000-00002F090000}"/>
    <cellStyle name="Accent1 116" xfId="2352" xr:uid="{00000000-0005-0000-0000-000030090000}"/>
    <cellStyle name="Accent1 116 2" xfId="2353" xr:uid="{00000000-0005-0000-0000-000031090000}"/>
    <cellStyle name="Accent1 117" xfId="2354" xr:uid="{00000000-0005-0000-0000-000032090000}"/>
    <cellStyle name="Accent1 117 2" xfId="2355" xr:uid="{00000000-0005-0000-0000-000033090000}"/>
    <cellStyle name="Accent1 118" xfId="2356" xr:uid="{00000000-0005-0000-0000-000034090000}"/>
    <cellStyle name="Accent1 118 2" xfId="2357" xr:uid="{00000000-0005-0000-0000-000035090000}"/>
    <cellStyle name="Accent1 119" xfId="2358" xr:uid="{00000000-0005-0000-0000-000036090000}"/>
    <cellStyle name="Accent1 119 2" xfId="2359" xr:uid="{00000000-0005-0000-0000-000037090000}"/>
    <cellStyle name="Accent1 12" xfId="2360" xr:uid="{00000000-0005-0000-0000-000038090000}"/>
    <cellStyle name="Accent1 12 2" xfId="2361" xr:uid="{00000000-0005-0000-0000-000039090000}"/>
    <cellStyle name="Accent1 12 2 2" xfId="2362" xr:uid="{00000000-0005-0000-0000-00003A090000}"/>
    <cellStyle name="Accent1 12 3" xfId="2363" xr:uid="{00000000-0005-0000-0000-00003B090000}"/>
    <cellStyle name="Accent1 120" xfId="2364" xr:uid="{00000000-0005-0000-0000-00003C090000}"/>
    <cellStyle name="Accent1 120 2" xfId="2365" xr:uid="{00000000-0005-0000-0000-00003D090000}"/>
    <cellStyle name="Accent1 121" xfId="2366" xr:uid="{00000000-0005-0000-0000-00003E090000}"/>
    <cellStyle name="Accent1 121 2" xfId="2367" xr:uid="{00000000-0005-0000-0000-00003F090000}"/>
    <cellStyle name="Accent1 122" xfId="2368" xr:uid="{00000000-0005-0000-0000-000040090000}"/>
    <cellStyle name="Accent1 122 2" xfId="2369" xr:uid="{00000000-0005-0000-0000-000041090000}"/>
    <cellStyle name="Accent1 123" xfId="2370" xr:uid="{00000000-0005-0000-0000-000042090000}"/>
    <cellStyle name="Accent1 123 2" xfId="2371" xr:uid="{00000000-0005-0000-0000-000043090000}"/>
    <cellStyle name="Accent1 124" xfId="2372" xr:uid="{00000000-0005-0000-0000-000044090000}"/>
    <cellStyle name="Accent1 124 2" xfId="2373" xr:uid="{00000000-0005-0000-0000-000045090000}"/>
    <cellStyle name="Accent1 125" xfId="2374" xr:uid="{00000000-0005-0000-0000-000046090000}"/>
    <cellStyle name="Accent1 125 2" xfId="2375" xr:uid="{00000000-0005-0000-0000-000047090000}"/>
    <cellStyle name="Accent1 126" xfId="2376" xr:uid="{00000000-0005-0000-0000-000048090000}"/>
    <cellStyle name="Accent1 127" xfId="2377" xr:uid="{00000000-0005-0000-0000-000049090000}"/>
    <cellStyle name="Accent1 128" xfId="2378" xr:uid="{00000000-0005-0000-0000-00004A090000}"/>
    <cellStyle name="Accent1 129" xfId="2379" xr:uid="{00000000-0005-0000-0000-00004B090000}"/>
    <cellStyle name="Accent1 13" xfId="2380" xr:uid="{00000000-0005-0000-0000-00004C090000}"/>
    <cellStyle name="Accent1 13 2" xfId="2381" xr:uid="{00000000-0005-0000-0000-00004D090000}"/>
    <cellStyle name="Accent1 13 2 2" xfId="2382" xr:uid="{00000000-0005-0000-0000-00004E090000}"/>
    <cellStyle name="Accent1 13 3" xfId="2383" xr:uid="{00000000-0005-0000-0000-00004F090000}"/>
    <cellStyle name="Accent1 130" xfId="2384" xr:uid="{00000000-0005-0000-0000-000050090000}"/>
    <cellStyle name="Accent1 131" xfId="2385" xr:uid="{00000000-0005-0000-0000-000051090000}"/>
    <cellStyle name="Accent1 132" xfId="2386" xr:uid="{00000000-0005-0000-0000-000052090000}"/>
    <cellStyle name="Accent1 133" xfId="2387" xr:uid="{00000000-0005-0000-0000-000053090000}"/>
    <cellStyle name="Accent1 134" xfId="2388" xr:uid="{00000000-0005-0000-0000-000054090000}"/>
    <cellStyle name="Accent1 135" xfId="2389" xr:uid="{00000000-0005-0000-0000-000055090000}"/>
    <cellStyle name="Accent1 136" xfId="2390" xr:uid="{00000000-0005-0000-0000-000056090000}"/>
    <cellStyle name="Accent1 137" xfId="2391" xr:uid="{00000000-0005-0000-0000-000057090000}"/>
    <cellStyle name="Accent1 138" xfId="2392" xr:uid="{00000000-0005-0000-0000-000058090000}"/>
    <cellStyle name="Accent1 139" xfId="2393" xr:uid="{00000000-0005-0000-0000-000059090000}"/>
    <cellStyle name="Accent1 14" xfId="2394" xr:uid="{00000000-0005-0000-0000-00005A090000}"/>
    <cellStyle name="Accent1 14 2" xfId="2395" xr:uid="{00000000-0005-0000-0000-00005B090000}"/>
    <cellStyle name="Accent1 14 2 2" xfId="2396" xr:uid="{00000000-0005-0000-0000-00005C090000}"/>
    <cellStyle name="Accent1 14 3" xfId="2397" xr:uid="{00000000-0005-0000-0000-00005D090000}"/>
    <cellStyle name="Accent1 140" xfId="2398" xr:uid="{00000000-0005-0000-0000-00005E090000}"/>
    <cellStyle name="Accent1 141" xfId="2399" xr:uid="{00000000-0005-0000-0000-00005F090000}"/>
    <cellStyle name="Accent1 142" xfId="2400" xr:uid="{00000000-0005-0000-0000-000060090000}"/>
    <cellStyle name="Accent1 143" xfId="2401" xr:uid="{00000000-0005-0000-0000-000061090000}"/>
    <cellStyle name="Accent1 144" xfId="2402" xr:uid="{00000000-0005-0000-0000-000062090000}"/>
    <cellStyle name="Accent1 145" xfId="2403" xr:uid="{00000000-0005-0000-0000-000063090000}"/>
    <cellStyle name="Accent1 146" xfId="2404" xr:uid="{00000000-0005-0000-0000-000064090000}"/>
    <cellStyle name="Accent1 147" xfId="2405" xr:uid="{00000000-0005-0000-0000-000065090000}"/>
    <cellStyle name="Accent1 148" xfId="2406" xr:uid="{00000000-0005-0000-0000-000066090000}"/>
    <cellStyle name="Accent1 149" xfId="2407" xr:uid="{00000000-0005-0000-0000-000067090000}"/>
    <cellStyle name="Accent1 15" xfId="2408" xr:uid="{00000000-0005-0000-0000-000068090000}"/>
    <cellStyle name="Accent1 15 2" xfId="2409" xr:uid="{00000000-0005-0000-0000-000069090000}"/>
    <cellStyle name="Accent1 15 2 2" xfId="2410" xr:uid="{00000000-0005-0000-0000-00006A090000}"/>
    <cellStyle name="Accent1 15 3" xfId="2411" xr:uid="{00000000-0005-0000-0000-00006B090000}"/>
    <cellStyle name="Accent1 150" xfId="2412" xr:uid="{00000000-0005-0000-0000-00006C090000}"/>
    <cellStyle name="Accent1 151" xfId="2413" xr:uid="{00000000-0005-0000-0000-00006D090000}"/>
    <cellStyle name="Accent1 152" xfId="2414" xr:uid="{00000000-0005-0000-0000-00006E090000}"/>
    <cellStyle name="Accent1 153" xfId="2415" xr:uid="{00000000-0005-0000-0000-00006F090000}"/>
    <cellStyle name="Accent1 154" xfId="2416" xr:uid="{00000000-0005-0000-0000-000070090000}"/>
    <cellStyle name="Accent1 155" xfId="2417" xr:uid="{00000000-0005-0000-0000-000071090000}"/>
    <cellStyle name="Accent1 156" xfId="2418" xr:uid="{00000000-0005-0000-0000-000072090000}"/>
    <cellStyle name="Accent1 157" xfId="2419" xr:uid="{00000000-0005-0000-0000-000073090000}"/>
    <cellStyle name="Accent1 158" xfId="2420" xr:uid="{00000000-0005-0000-0000-000074090000}"/>
    <cellStyle name="Accent1 159" xfId="2421" xr:uid="{00000000-0005-0000-0000-000075090000}"/>
    <cellStyle name="Accent1 16" xfId="2422" xr:uid="{00000000-0005-0000-0000-000076090000}"/>
    <cellStyle name="Accent1 16 2" xfId="2423" xr:uid="{00000000-0005-0000-0000-000077090000}"/>
    <cellStyle name="Accent1 16 2 2" xfId="2424" xr:uid="{00000000-0005-0000-0000-000078090000}"/>
    <cellStyle name="Accent1 16 3" xfId="2425" xr:uid="{00000000-0005-0000-0000-000079090000}"/>
    <cellStyle name="Accent1 160" xfId="2426" xr:uid="{00000000-0005-0000-0000-00007A090000}"/>
    <cellStyle name="Accent1 161" xfId="2427" xr:uid="{00000000-0005-0000-0000-00007B090000}"/>
    <cellStyle name="Accent1 162" xfId="2428" xr:uid="{00000000-0005-0000-0000-00007C090000}"/>
    <cellStyle name="Accent1 163" xfId="2429" xr:uid="{00000000-0005-0000-0000-00007D090000}"/>
    <cellStyle name="Accent1 164" xfId="2430" xr:uid="{00000000-0005-0000-0000-00007E090000}"/>
    <cellStyle name="Accent1 165" xfId="2431" xr:uid="{00000000-0005-0000-0000-00007F090000}"/>
    <cellStyle name="Accent1 166" xfId="2432" xr:uid="{00000000-0005-0000-0000-000080090000}"/>
    <cellStyle name="Accent1 167" xfId="2433" xr:uid="{00000000-0005-0000-0000-000081090000}"/>
    <cellStyle name="Accent1 168" xfId="2434" xr:uid="{00000000-0005-0000-0000-000082090000}"/>
    <cellStyle name="Accent1 169" xfId="2435" xr:uid="{00000000-0005-0000-0000-000083090000}"/>
    <cellStyle name="Accent1 17" xfId="2436" xr:uid="{00000000-0005-0000-0000-000084090000}"/>
    <cellStyle name="Accent1 17 2" xfId="2437" xr:uid="{00000000-0005-0000-0000-000085090000}"/>
    <cellStyle name="Accent1 17 2 2" xfId="2438" xr:uid="{00000000-0005-0000-0000-000086090000}"/>
    <cellStyle name="Accent1 17 3" xfId="2439" xr:uid="{00000000-0005-0000-0000-000087090000}"/>
    <cellStyle name="Accent1 170" xfId="2440" xr:uid="{00000000-0005-0000-0000-000088090000}"/>
    <cellStyle name="Accent1 171" xfId="2441" xr:uid="{00000000-0005-0000-0000-000089090000}"/>
    <cellStyle name="Accent1 172" xfId="2442" xr:uid="{00000000-0005-0000-0000-00008A090000}"/>
    <cellStyle name="Accent1 173" xfId="2443" xr:uid="{00000000-0005-0000-0000-00008B090000}"/>
    <cellStyle name="Accent1 174" xfId="2444" xr:uid="{00000000-0005-0000-0000-00008C090000}"/>
    <cellStyle name="Accent1 175" xfId="2445" xr:uid="{00000000-0005-0000-0000-00008D090000}"/>
    <cellStyle name="Accent1 176" xfId="2446" xr:uid="{00000000-0005-0000-0000-00008E090000}"/>
    <cellStyle name="Accent1 177" xfId="2447" xr:uid="{00000000-0005-0000-0000-00008F090000}"/>
    <cellStyle name="Accent1 178" xfId="2448" xr:uid="{00000000-0005-0000-0000-000090090000}"/>
    <cellStyle name="Accent1 179" xfId="2449" xr:uid="{00000000-0005-0000-0000-000091090000}"/>
    <cellStyle name="Accent1 18" xfId="2450" xr:uid="{00000000-0005-0000-0000-000092090000}"/>
    <cellStyle name="Accent1 18 2" xfId="2451" xr:uid="{00000000-0005-0000-0000-000093090000}"/>
    <cellStyle name="Accent1 18 2 2" xfId="2452" xr:uid="{00000000-0005-0000-0000-000094090000}"/>
    <cellStyle name="Accent1 18 3" xfId="2453" xr:uid="{00000000-0005-0000-0000-000095090000}"/>
    <cellStyle name="Accent1 19" xfId="2454" xr:uid="{00000000-0005-0000-0000-000096090000}"/>
    <cellStyle name="Accent1 19 2" xfId="2455" xr:uid="{00000000-0005-0000-0000-000097090000}"/>
    <cellStyle name="Accent1 19 2 2" xfId="2456" xr:uid="{00000000-0005-0000-0000-000098090000}"/>
    <cellStyle name="Accent1 19 3" xfId="2457" xr:uid="{00000000-0005-0000-0000-000099090000}"/>
    <cellStyle name="Accent1 2" xfId="2458" xr:uid="{00000000-0005-0000-0000-00009A090000}"/>
    <cellStyle name="Accent1 2 10" xfId="2459" xr:uid="{00000000-0005-0000-0000-00009B090000}"/>
    <cellStyle name="Accent1 2 10 2" xfId="2460" xr:uid="{00000000-0005-0000-0000-00009C090000}"/>
    <cellStyle name="Accent1 2 11" xfId="2461" xr:uid="{00000000-0005-0000-0000-00009D090000}"/>
    <cellStyle name="Accent1 2 12" xfId="2462" xr:uid="{00000000-0005-0000-0000-00009E090000}"/>
    <cellStyle name="Accent1 2 2" xfId="2463" xr:uid="{00000000-0005-0000-0000-00009F090000}"/>
    <cellStyle name="Accent1 2 2 2" xfId="2464" xr:uid="{00000000-0005-0000-0000-0000A0090000}"/>
    <cellStyle name="Accent1 2 2 2 2" xfId="2465" xr:uid="{00000000-0005-0000-0000-0000A1090000}"/>
    <cellStyle name="Accent1 2 2 3" xfId="2466" xr:uid="{00000000-0005-0000-0000-0000A2090000}"/>
    <cellStyle name="Accent1 2 2 3 2" xfId="2467" xr:uid="{00000000-0005-0000-0000-0000A3090000}"/>
    <cellStyle name="Accent1 2 2 3 2 2" xfId="2468" xr:uid="{00000000-0005-0000-0000-0000A4090000}"/>
    <cellStyle name="Accent1 2 2 3 3" xfId="2469" xr:uid="{00000000-0005-0000-0000-0000A5090000}"/>
    <cellStyle name="Accent1 2 2 4" xfId="2470" xr:uid="{00000000-0005-0000-0000-0000A6090000}"/>
    <cellStyle name="Accent1 2 3" xfId="2471" xr:uid="{00000000-0005-0000-0000-0000A7090000}"/>
    <cellStyle name="Accent1 2 3 2" xfId="2472" xr:uid="{00000000-0005-0000-0000-0000A8090000}"/>
    <cellStyle name="Accent1 2 3 2 2" xfId="2473" xr:uid="{00000000-0005-0000-0000-0000A9090000}"/>
    <cellStyle name="Accent1 2 3 3" xfId="2474" xr:uid="{00000000-0005-0000-0000-0000AA090000}"/>
    <cellStyle name="Accent1 2 3 3 2" xfId="2475" xr:uid="{00000000-0005-0000-0000-0000AB090000}"/>
    <cellStyle name="Accent1 2 3 3 2 2" xfId="2476" xr:uid="{00000000-0005-0000-0000-0000AC090000}"/>
    <cellStyle name="Accent1 2 3 3 3" xfId="2477" xr:uid="{00000000-0005-0000-0000-0000AD090000}"/>
    <cellStyle name="Accent1 2 3 4" xfId="2478" xr:uid="{00000000-0005-0000-0000-0000AE090000}"/>
    <cellStyle name="Accent1 2 4" xfId="2479" xr:uid="{00000000-0005-0000-0000-0000AF090000}"/>
    <cellStyle name="Accent1 2 4 2" xfId="2480" xr:uid="{00000000-0005-0000-0000-0000B0090000}"/>
    <cellStyle name="Accent1 2 4 2 2" xfId="2481" xr:uid="{00000000-0005-0000-0000-0000B1090000}"/>
    <cellStyle name="Accent1 2 4 3" xfId="2482" xr:uid="{00000000-0005-0000-0000-0000B2090000}"/>
    <cellStyle name="Accent1 2 5" xfId="2483" xr:uid="{00000000-0005-0000-0000-0000B3090000}"/>
    <cellStyle name="Accent1 2 5 2" xfId="2484" xr:uid="{00000000-0005-0000-0000-0000B4090000}"/>
    <cellStyle name="Accent1 2 5 2 2" xfId="2485" xr:uid="{00000000-0005-0000-0000-0000B5090000}"/>
    <cellStyle name="Accent1 2 5 3" xfId="2486" xr:uid="{00000000-0005-0000-0000-0000B6090000}"/>
    <cellStyle name="Accent1 2 5 3 2" xfId="2487" xr:uid="{00000000-0005-0000-0000-0000B7090000}"/>
    <cellStyle name="Accent1 2 5 3 2 2" xfId="2488" xr:uid="{00000000-0005-0000-0000-0000B8090000}"/>
    <cellStyle name="Accent1 2 5 3 3" xfId="2489" xr:uid="{00000000-0005-0000-0000-0000B9090000}"/>
    <cellStyle name="Accent1 2 5 4" xfId="2490" xr:uid="{00000000-0005-0000-0000-0000BA090000}"/>
    <cellStyle name="Accent1 2 6" xfId="2491" xr:uid="{00000000-0005-0000-0000-0000BB090000}"/>
    <cellStyle name="Accent1 2 6 2" xfId="2492" xr:uid="{00000000-0005-0000-0000-0000BC090000}"/>
    <cellStyle name="Accent1 2 7" xfId="2493" xr:uid="{00000000-0005-0000-0000-0000BD090000}"/>
    <cellStyle name="Accent1 2 7 2" xfId="2494" xr:uid="{00000000-0005-0000-0000-0000BE090000}"/>
    <cellStyle name="Accent1 2 8" xfId="2495" xr:uid="{00000000-0005-0000-0000-0000BF090000}"/>
    <cellStyle name="Accent1 2 8 2" xfId="2496" xr:uid="{00000000-0005-0000-0000-0000C0090000}"/>
    <cellStyle name="Accent1 2 8 2 2" xfId="2497" xr:uid="{00000000-0005-0000-0000-0000C1090000}"/>
    <cellStyle name="Accent1 2 8 3" xfId="2498" xr:uid="{00000000-0005-0000-0000-0000C2090000}"/>
    <cellStyle name="Accent1 2 9" xfId="2499" xr:uid="{00000000-0005-0000-0000-0000C3090000}"/>
    <cellStyle name="Accent1 2 9 2" xfId="2500" xr:uid="{00000000-0005-0000-0000-0000C4090000}"/>
    <cellStyle name="Accent1 2 9 2 2" xfId="2501" xr:uid="{00000000-0005-0000-0000-0000C5090000}"/>
    <cellStyle name="Accent1 2 9 3" xfId="2502" xr:uid="{00000000-0005-0000-0000-0000C6090000}"/>
    <cellStyle name="Accent1 20" xfId="2503" xr:uid="{00000000-0005-0000-0000-0000C7090000}"/>
    <cellStyle name="Accent1 20 2" xfId="2504" xr:uid="{00000000-0005-0000-0000-0000C8090000}"/>
    <cellStyle name="Accent1 20 2 2" xfId="2505" xr:uid="{00000000-0005-0000-0000-0000C9090000}"/>
    <cellStyle name="Accent1 20 3" xfId="2506" xr:uid="{00000000-0005-0000-0000-0000CA090000}"/>
    <cellStyle name="Accent1 21" xfId="2507" xr:uid="{00000000-0005-0000-0000-0000CB090000}"/>
    <cellStyle name="Accent1 21 2" xfId="2508" xr:uid="{00000000-0005-0000-0000-0000CC090000}"/>
    <cellStyle name="Accent1 21 2 2" xfId="2509" xr:uid="{00000000-0005-0000-0000-0000CD090000}"/>
    <cellStyle name="Accent1 21 3" xfId="2510" xr:uid="{00000000-0005-0000-0000-0000CE090000}"/>
    <cellStyle name="Accent1 22" xfId="2511" xr:uid="{00000000-0005-0000-0000-0000CF090000}"/>
    <cellStyle name="Accent1 22 2" xfId="2512" xr:uid="{00000000-0005-0000-0000-0000D0090000}"/>
    <cellStyle name="Accent1 22 2 2" xfId="2513" xr:uid="{00000000-0005-0000-0000-0000D1090000}"/>
    <cellStyle name="Accent1 22 3" xfId="2514" xr:uid="{00000000-0005-0000-0000-0000D2090000}"/>
    <cellStyle name="Accent1 23" xfId="2515" xr:uid="{00000000-0005-0000-0000-0000D3090000}"/>
    <cellStyle name="Accent1 23 2" xfId="2516" xr:uid="{00000000-0005-0000-0000-0000D4090000}"/>
    <cellStyle name="Accent1 23 2 2" xfId="2517" xr:uid="{00000000-0005-0000-0000-0000D5090000}"/>
    <cellStyle name="Accent1 23 3" xfId="2518" xr:uid="{00000000-0005-0000-0000-0000D6090000}"/>
    <cellStyle name="Accent1 24" xfId="2519" xr:uid="{00000000-0005-0000-0000-0000D7090000}"/>
    <cellStyle name="Accent1 24 2" xfId="2520" xr:uid="{00000000-0005-0000-0000-0000D8090000}"/>
    <cellStyle name="Accent1 24 2 2" xfId="2521" xr:uid="{00000000-0005-0000-0000-0000D9090000}"/>
    <cellStyle name="Accent1 24 3" xfId="2522" xr:uid="{00000000-0005-0000-0000-0000DA090000}"/>
    <cellStyle name="Accent1 25" xfId="2523" xr:uid="{00000000-0005-0000-0000-0000DB090000}"/>
    <cellStyle name="Accent1 25 2" xfId="2524" xr:uid="{00000000-0005-0000-0000-0000DC090000}"/>
    <cellStyle name="Accent1 25 2 2" xfId="2525" xr:uid="{00000000-0005-0000-0000-0000DD090000}"/>
    <cellStyle name="Accent1 25 3" xfId="2526" xr:uid="{00000000-0005-0000-0000-0000DE090000}"/>
    <cellStyle name="Accent1 26" xfId="2527" xr:uid="{00000000-0005-0000-0000-0000DF090000}"/>
    <cellStyle name="Accent1 26 2" xfId="2528" xr:uid="{00000000-0005-0000-0000-0000E0090000}"/>
    <cellStyle name="Accent1 26 2 2" xfId="2529" xr:uid="{00000000-0005-0000-0000-0000E1090000}"/>
    <cellStyle name="Accent1 26 3" xfId="2530" xr:uid="{00000000-0005-0000-0000-0000E2090000}"/>
    <cellStyle name="Accent1 27" xfId="2531" xr:uid="{00000000-0005-0000-0000-0000E3090000}"/>
    <cellStyle name="Accent1 27 2" xfId="2532" xr:uid="{00000000-0005-0000-0000-0000E4090000}"/>
    <cellStyle name="Accent1 27 2 2" xfId="2533" xr:uid="{00000000-0005-0000-0000-0000E5090000}"/>
    <cellStyle name="Accent1 27 3" xfId="2534" xr:uid="{00000000-0005-0000-0000-0000E6090000}"/>
    <cellStyle name="Accent1 28" xfId="2535" xr:uid="{00000000-0005-0000-0000-0000E7090000}"/>
    <cellStyle name="Accent1 28 2" xfId="2536" xr:uid="{00000000-0005-0000-0000-0000E8090000}"/>
    <cellStyle name="Accent1 28 2 2" xfId="2537" xr:uid="{00000000-0005-0000-0000-0000E9090000}"/>
    <cellStyle name="Accent1 28 3" xfId="2538" xr:uid="{00000000-0005-0000-0000-0000EA090000}"/>
    <cellStyle name="Accent1 29" xfId="2539" xr:uid="{00000000-0005-0000-0000-0000EB090000}"/>
    <cellStyle name="Accent1 29 2" xfId="2540" xr:uid="{00000000-0005-0000-0000-0000EC090000}"/>
    <cellStyle name="Accent1 29 2 2" xfId="2541" xr:uid="{00000000-0005-0000-0000-0000ED090000}"/>
    <cellStyle name="Accent1 29 3" xfId="2542" xr:uid="{00000000-0005-0000-0000-0000EE090000}"/>
    <cellStyle name="Accent1 3" xfId="2543" xr:uid="{00000000-0005-0000-0000-0000EF090000}"/>
    <cellStyle name="Accent1 3 10" xfId="2544" xr:uid="{00000000-0005-0000-0000-0000F0090000}"/>
    <cellStyle name="Accent1 3 10 2" xfId="2545" xr:uid="{00000000-0005-0000-0000-0000F1090000}"/>
    <cellStyle name="Accent1 3 11" xfId="2546" xr:uid="{00000000-0005-0000-0000-0000F2090000}"/>
    <cellStyle name="Accent1 3 2" xfId="2547" xr:uid="{00000000-0005-0000-0000-0000F3090000}"/>
    <cellStyle name="Accent1 3 2 2" xfId="2548" xr:uid="{00000000-0005-0000-0000-0000F4090000}"/>
    <cellStyle name="Accent1 3 2 2 2" xfId="2549" xr:uid="{00000000-0005-0000-0000-0000F5090000}"/>
    <cellStyle name="Accent1 3 2 3" xfId="2550" xr:uid="{00000000-0005-0000-0000-0000F6090000}"/>
    <cellStyle name="Accent1 3 2 3 2" xfId="2551" xr:uid="{00000000-0005-0000-0000-0000F7090000}"/>
    <cellStyle name="Accent1 3 2 3 2 2" xfId="2552" xr:uid="{00000000-0005-0000-0000-0000F8090000}"/>
    <cellStyle name="Accent1 3 2 3 3" xfId="2553" xr:uid="{00000000-0005-0000-0000-0000F9090000}"/>
    <cellStyle name="Accent1 3 2 4" xfId="2554" xr:uid="{00000000-0005-0000-0000-0000FA090000}"/>
    <cellStyle name="Accent1 3 3" xfId="2555" xr:uid="{00000000-0005-0000-0000-0000FB090000}"/>
    <cellStyle name="Accent1 3 3 2" xfId="2556" xr:uid="{00000000-0005-0000-0000-0000FC090000}"/>
    <cellStyle name="Accent1 3 3 2 2" xfId="2557" xr:uid="{00000000-0005-0000-0000-0000FD090000}"/>
    <cellStyle name="Accent1 3 3 3" xfId="2558" xr:uid="{00000000-0005-0000-0000-0000FE090000}"/>
    <cellStyle name="Accent1 3 3 3 2" xfId="2559" xr:uid="{00000000-0005-0000-0000-0000FF090000}"/>
    <cellStyle name="Accent1 3 3 3 2 2" xfId="2560" xr:uid="{00000000-0005-0000-0000-0000000A0000}"/>
    <cellStyle name="Accent1 3 3 3 3" xfId="2561" xr:uid="{00000000-0005-0000-0000-0000010A0000}"/>
    <cellStyle name="Accent1 3 3 4" xfId="2562" xr:uid="{00000000-0005-0000-0000-0000020A0000}"/>
    <cellStyle name="Accent1 3 4" xfId="2563" xr:uid="{00000000-0005-0000-0000-0000030A0000}"/>
    <cellStyle name="Accent1 3 4 2" xfId="2564" xr:uid="{00000000-0005-0000-0000-0000040A0000}"/>
    <cellStyle name="Accent1 3 4 2 2" xfId="2565" xr:uid="{00000000-0005-0000-0000-0000050A0000}"/>
    <cellStyle name="Accent1 3 4 3" xfId="2566" xr:uid="{00000000-0005-0000-0000-0000060A0000}"/>
    <cellStyle name="Accent1 3 5" xfId="2567" xr:uid="{00000000-0005-0000-0000-0000070A0000}"/>
    <cellStyle name="Accent1 3 5 2" xfId="2568" xr:uid="{00000000-0005-0000-0000-0000080A0000}"/>
    <cellStyle name="Accent1 3 5 2 2" xfId="2569" xr:uid="{00000000-0005-0000-0000-0000090A0000}"/>
    <cellStyle name="Accent1 3 5 3" xfId="2570" xr:uid="{00000000-0005-0000-0000-00000A0A0000}"/>
    <cellStyle name="Accent1 3 5 3 2" xfId="2571" xr:uid="{00000000-0005-0000-0000-00000B0A0000}"/>
    <cellStyle name="Accent1 3 5 3 2 2" xfId="2572" xr:uid="{00000000-0005-0000-0000-00000C0A0000}"/>
    <cellStyle name="Accent1 3 5 3 3" xfId="2573" xr:uid="{00000000-0005-0000-0000-00000D0A0000}"/>
    <cellStyle name="Accent1 3 5 4" xfId="2574" xr:uid="{00000000-0005-0000-0000-00000E0A0000}"/>
    <cellStyle name="Accent1 3 6" xfId="2575" xr:uid="{00000000-0005-0000-0000-00000F0A0000}"/>
    <cellStyle name="Accent1 3 6 2" xfId="2576" xr:uid="{00000000-0005-0000-0000-0000100A0000}"/>
    <cellStyle name="Accent1 3 7" xfId="2577" xr:uid="{00000000-0005-0000-0000-0000110A0000}"/>
    <cellStyle name="Accent1 3 7 2" xfId="2578" xr:uid="{00000000-0005-0000-0000-0000120A0000}"/>
    <cellStyle name="Accent1 3 8" xfId="2579" xr:uid="{00000000-0005-0000-0000-0000130A0000}"/>
    <cellStyle name="Accent1 3 8 2" xfId="2580" xr:uid="{00000000-0005-0000-0000-0000140A0000}"/>
    <cellStyle name="Accent1 3 8 2 2" xfId="2581" xr:uid="{00000000-0005-0000-0000-0000150A0000}"/>
    <cellStyle name="Accent1 3 8 3" xfId="2582" xr:uid="{00000000-0005-0000-0000-0000160A0000}"/>
    <cellStyle name="Accent1 3 9" xfId="2583" xr:uid="{00000000-0005-0000-0000-0000170A0000}"/>
    <cellStyle name="Accent1 3 9 2" xfId="2584" xr:uid="{00000000-0005-0000-0000-0000180A0000}"/>
    <cellStyle name="Accent1 3 9 2 2" xfId="2585" xr:uid="{00000000-0005-0000-0000-0000190A0000}"/>
    <cellStyle name="Accent1 3 9 3" xfId="2586" xr:uid="{00000000-0005-0000-0000-00001A0A0000}"/>
    <cellStyle name="Accent1 30" xfId="2587" xr:uid="{00000000-0005-0000-0000-00001B0A0000}"/>
    <cellStyle name="Accent1 30 2" xfId="2588" xr:uid="{00000000-0005-0000-0000-00001C0A0000}"/>
    <cellStyle name="Accent1 30 2 2" xfId="2589" xr:uid="{00000000-0005-0000-0000-00001D0A0000}"/>
    <cellStyle name="Accent1 30 3" xfId="2590" xr:uid="{00000000-0005-0000-0000-00001E0A0000}"/>
    <cellStyle name="Accent1 31" xfId="2591" xr:uid="{00000000-0005-0000-0000-00001F0A0000}"/>
    <cellStyle name="Accent1 31 2" xfId="2592" xr:uid="{00000000-0005-0000-0000-0000200A0000}"/>
    <cellStyle name="Accent1 31 2 2" xfId="2593" xr:uid="{00000000-0005-0000-0000-0000210A0000}"/>
    <cellStyle name="Accent1 31 3" xfId="2594" xr:uid="{00000000-0005-0000-0000-0000220A0000}"/>
    <cellStyle name="Accent1 32" xfId="2595" xr:uid="{00000000-0005-0000-0000-0000230A0000}"/>
    <cellStyle name="Accent1 32 2" xfId="2596" xr:uid="{00000000-0005-0000-0000-0000240A0000}"/>
    <cellStyle name="Accent1 32 2 2" xfId="2597" xr:uid="{00000000-0005-0000-0000-0000250A0000}"/>
    <cellStyle name="Accent1 32 3" xfId="2598" xr:uid="{00000000-0005-0000-0000-0000260A0000}"/>
    <cellStyle name="Accent1 33" xfId="2599" xr:uid="{00000000-0005-0000-0000-0000270A0000}"/>
    <cellStyle name="Accent1 33 2" xfId="2600" xr:uid="{00000000-0005-0000-0000-0000280A0000}"/>
    <cellStyle name="Accent1 33 2 2" xfId="2601" xr:uid="{00000000-0005-0000-0000-0000290A0000}"/>
    <cellStyle name="Accent1 33 3" xfId="2602" xr:uid="{00000000-0005-0000-0000-00002A0A0000}"/>
    <cellStyle name="Accent1 34" xfId="2603" xr:uid="{00000000-0005-0000-0000-00002B0A0000}"/>
    <cellStyle name="Accent1 34 2" xfId="2604" xr:uid="{00000000-0005-0000-0000-00002C0A0000}"/>
    <cellStyle name="Accent1 34 2 2" xfId="2605" xr:uid="{00000000-0005-0000-0000-00002D0A0000}"/>
    <cellStyle name="Accent1 34 3" xfId="2606" xr:uid="{00000000-0005-0000-0000-00002E0A0000}"/>
    <cellStyle name="Accent1 35" xfId="2607" xr:uid="{00000000-0005-0000-0000-00002F0A0000}"/>
    <cellStyle name="Accent1 35 2" xfId="2608" xr:uid="{00000000-0005-0000-0000-0000300A0000}"/>
    <cellStyle name="Accent1 35 2 2" xfId="2609" xr:uid="{00000000-0005-0000-0000-0000310A0000}"/>
    <cellStyle name="Accent1 35 3" xfId="2610" xr:uid="{00000000-0005-0000-0000-0000320A0000}"/>
    <cellStyle name="Accent1 36" xfId="2611" xr:uid="{00000000-0005-0000-0000-0000330A0000}"/>
    <cellStyle name="Accent1 36 2" xfId="2612" xr:uid="{00000000-0005-0000-0000-0000340A0000}"/>
    <cellStyle name="Accent1 36 2 2" xfId="2613" xr:uid="{00000000-0005-0000-0000-0000350A0000}"/>
    <cellStyle name="Accent1 36 3" xfId="2614" xr:uid="{00000000-0005-0000-0000-0000360A0000}"/>
    <cellStyle name="Accent1 37" xfId="2615" xr:uid="{00000000-0005-0000-0000-0000370A0000}"/>
    <cellStyle name="Accent1 37 2" xfId="2616" xr:uid="{00000000-0005-0000-0000-0000380A0000}"/>
    <cellStyle name="Accent1 37 2 2" xfId="2617" xr:uid="{00000000-0005-0000-0000-0000390A0000}"/>
    <cellStyle name="Accent1 37 3" xfId="2618" xr:uid="{00000000-0005-0000-0000-00003A0A0000}"/>
    <cellStyle name="Accent1 38" xfId="2619" xr:uid="{00000000-0005-0000-0000-00003B0A0000}"/>
    <cellStyle name="Accent1 38 2" xfId="2620" xr:uid="{00000000-0005-0000-0000-00003C0A0000}"/>
    <cellStyle name="Accent1 38 2 2" xfId="2621" xr:uid="{00000000-0005-0000-0000-00003D0A0000}"/>
    <cellStyle name="Accent1 38 3" xfId="2622" xr:uid="{00000000-0005-0000-0000-00003E0A0000}"/>
    <cellStyle name="Accent1 39" xfId="2623" xr:uid="{00000000-0005-0000-0000-00003F0A0000}"/>
    <cellStyle name="Accent1 39 2" xfId="2624" xr:uid="{00000000-0005-0000-0000-0000400A0000}"/>
    <cellStyle name="Accent1 39 2 2" xfId="2625" xr:uid="{00000000-0005-0000-0000-0000410A0000}"/>
    <cellStyle name="Accent1 39 3" xfId="2626" xr:uid="{00000000-0005-0000-0000-0000420A0000}"/>
    <cellStyle name="Accent1 4" xfId="2627" xr:uid="{00000000-0005-0000-0000-0000430A0000}"/>
    <cellStyle name="Accent1 4 2" xfId="2628" xr:uid="{00000000-0005-0000-0000-0000440A0000}"/>
    <cellStyle name="Accent1 4 2 2" xfId="2629" xr:uid="{00000000-0005-0000-0000-0000450A0000}"/>
    <cellStyle name="Accent1 4 2 2 2" xfId="2630" xr:uid="{00000000-0005-0000-0000-0000460A0000}"/>
    <cellStyle name="Accent1 4 2 3" xfId="2631" xr:uid="{00000000-0005-0000-0000-0000470A0000}"/>
    <cellStyle name="Accent1 4 2 3 2" xfId="2632" xr:uid="{00000000-0005-0000-0000-0000480A0000}"/>
    <cellStyle name="Accent1 4 2 3 2 2" xfId="2633" xr:uid="{00000000-0005-0000-0000-0000490A0000}"/>
    <cellStyle name="Accent1 4 2 3 3" xfId="2634" xr:uid="{00000000-0005-0000-0000-00004A0A0000}"/>
    <cellStyle name="Accent1 4 2 4" xfId="2635" xr:uid="{00000000-0005-0000-0000-00004B0A0000}"/>
    <cellStyle name="Accent1 4 3" xfId="2636" xr:uid="{00000000-0005-0000-0000-00004C0A0000}"/>
    <cellStyle name="Accent1 4 3 2" xfId="2637" xr:uid="{00000000-0005-0000-0000-00004D0A0000}"/>
    <cellStyle name="Accent1 4 3 2 2" xfId="2638" xr:uid="{00000000-0005-0000-0000-00004E0A0000}"/>
    <cellStyle name="Accent1 4 3 3" xfId="2639" xr:uid="{00000000-0005-0000-0000-00004F0A0000}"/>
    <cellStyle name="Accent1 4 3 3 2" xfId="2640" xr:uid="{00000000-0005-0000-0000-0000500A0000}"/>
    <cellStyle name="Accent1 4 3 3 2 2" xfId="2641" xr:uid="{00000000-0005-0000-0000-0000510A0000}"/>
    <cellStyle name="Accent1 4 3 3 3" xfId="2642" xr:uid="{00000000-0005-0000-0000-0000520A0000}"/>
    <cellStyle name="Accent1 4 3 4" xfId="2643" xr:uid="{00000000-0005-0000-0000-0000530A0000}"/>
    <cellStyle name="Accent1 4 4" xfId="2644" xr:uid="{00000000-0005-0000-0000-0000540A0000}"/>
    <cellStyle name="Accent1 4 4 2" xfId="2645" xr:uid="{00000000-0005-0000-0000-0000550A0000}"/>
    <cellStyle name="Accent1 4 4 2 2" xfId="2646" xr:uid="{00000000-0005-0000-0000-0000560A0000}"/>
    <cellStyle name="Accent1 4 4 3" xfId="2647" xr:uid="{00000000-0005-0000-0000-0000570A0000}"/>
    <cellStyle name="Accent1 4 5" xfId="2648" xr:uid="{00000000-0005-0000-0000-0000580A0000}"/>
    <cellStyle name="Accent1 4 5 2" xfId="2649" xr:uid="{00000000-0005-0000-0000-0000590A0000}"/>
    <cellStyle name="Accent1 4 6" xfId="2650" xr:uid="{00000000-0005-0000-0000-00005A0A0000}"/>
    <cellStyle name="Accent1 4 6 2" xfId="2651" xr:uid="{00000000-0005-0000-0000-00005B0A0000}"/>
    <cellStyle name="Accent1 4 7" xfId="2652" xr:uid="{00000000-0005-0000-0000-00005C0A0000}"/>
    <cellStyle name="Accent1 40" xfId="2653" xr:uid="{00000000-0005-0000-0000-00005D0A0000}"/>
    <cellStyle name="Accent1 40 2" xfId="2654" xr:uid="{00000000-0005-0000-0000-00005E0A0000}"/>
    <cellStyle name="Accent1 40 2 2" xfId="2655" xr:uid="{00000000-0005-0000-0000-00005F0A0000}"/>
    <cellStyle name="Accent1 40 3" xfId="2656" xr:uid="{00000000-0005-0000-0000-0000600A0000}"/>
    <cellStyle name="Accent1 41" xfId="2657" xr:uid="{00000000-0005-0000-0000-0000610A0000}"/>
    <cellStyle name="Accent1 41 2" xfId="2658" xr:uid="{00000000-0005-0000-0000-0000620A0000}"/>
    <cellStyle name="Accent1 41 2 2" xfId="2659" xr:uid="{00000000-0005-0000-0000-0000630A0000}"/>
    <cellStyle name="Accent1 41 3" xfId="2660" xr:uid="{00000000-0005-0000-0000-0000640A0000}"/>
    <cellStyle name="Accent1 42" xfId="2661" xr:uid="{00000000-0005-0000-0000-0000650A0000}"/>
    <cellStyle name="Accent1 42 2" xfId="2662" xr:uid="{00000000-0005-0000-0000-0000660A0000}"/>
    <cellStyle name="Accent1 42 2 2" xfId="2663" xr:uid="{00000000-0005-0000-0000-0000670A0000}"/>
    <cellStyle name="Accent1 42 3" xfId="2664" xr:uid="{00000000-0005-0000-0000-0000680A0000}"/>
    <cellStyle name="Accent1 43" xfId="2665" xr:uid="{00000000-0005-0000-0000-0000690A0000}"/>
    <cellStyle name="Accent1 43 2" xfId="2666" xr:uid="{00000000-0005-0000-0000-00006A0A0000}"/>
    <cellStyle name="Accent1 43 2 2" xfId="2667" xr:uid="{00000000-0005-0000-0000-00006B0A0000}"/>
    <cellStyle name="Accent1 43 3" xfId="2668" xr:uid="{00000000-0005-0000-0000-00006C0A0000}"/>
    <cellStyle name="Accent1 44" xfId="2669" xr:uid="{00000000-0005-0000-0000-00006D0A0000}"/>
    <cellStyle name="Accent1 44 2" xfId="2670" xr:uid="{00000000-0005-0000-0000-00006E0A0000}"/>
    <cellStyle name="Accent1 44 2 2" xfId="2671" xr:uid="{00000000-0005-0000-0000-00006F0A0000}"/>
    <cellStyle name="Accent1 44 3" xfId="2672" xr:uid="{00000000-0005-0000-0000-0000700A0000}"/>
    <cellStyle name="Accent1 45" xfId="2673" xr:uid="{00000000-0005-0000-0000-0000710A0000}"/>
    <cellStyle name="Accent1 45 2" xfId="2674" xr:uid="{00000000-0005-0000-0000-0000720A0000}"/>
    <cellStyle name="Accent1 45 2 2" xfId="2675" xr:uid="{00000000-0005-0000-0000-0000730A0000}"/>
    <cellStyle name="Accent1 45 3" xfId="2676" xr:uid="{00000000-0005-0000-0000-0000740A0000}"/>
    <cellStyle name="Accent1 46" xfId="2677" xr:uid="{00000000-0005-0000-0000-0000750A0000}"/>
    <cellStyle name="Accent1 46 2" xfId="2678" xr:uid="{00000000-0005-0000-0000-0000760A0000}"/>
    <cellStyle name="Accent1 46 2 2" xfId="2679" xr:uid="{00000000-0005-0000-0000-0000770A0000}"/>
    <cellStyle name="Accent1 46 3" xfId="2680" xr:uid="{00000000-0005-0000-0000-0000780A0000}"/>
    <cellStyle name="Accent1 47" xfId="2681" xr:uid="{00000000-0005-0000-0000-0000790A0000}"/>
    <cellStyle name="Accent1 47 2" xfId="2682" xr:uid="{00000000-0005-0000-0000-00007A0A0000}"/>
    <cellStyle name="Accent1 47 2 2" xfId="2683" xr:uid="{00000000-0005-0000-0000-00007B0A0000}"/>
    <cellStyle name="Accent1 47 3" xfId="2684" xr:uid="{00000000-0005-0000-0000-00007C0A0000}"/>
    <cellStyle name="Accent1 48" xfId="2685" xr:uid="{00000000-0005-0000-0000-00007D0A0000}"/>
    <cellStyle name="Accent1 48 2" xfId="2686" xr:uid="{00000000-0005-0000-0000-00007E0A0000}"/>
    <cellStyle name="Accent1 48 2 2" xfId="2687" xr:uid="{00000000-0005-0000-0000-00007F0A0000}"/>
    <cellStyle name="Accent1 48 3" xfId="2688" xr:uid="{00000000-0005-0000-0000-0000800A0000}"/>
    <cellStyle name="Accent1 48 3 2" xfId="2689" xr:uid="{00000000-0005-0000-0000-0000810A0000}"/>
    <cellStyle name="Accent1 48 3 2 2" xfId="2690" xr:uid="{00000000-0005-0000-0000-0000820A0000}"/>
    <cellStyle name="Accent1 48 3 3" xfId="2691" xr:uid="{00000000-0005-0000-0000-0000830A0000}"/>
    <cellStyle name="Accent1 48 4" xfId="2692" xr:uid="{00000000-0005-0000-0000-0000840A0000}"/>
    <cellStyle name="Accent1 49" xfId="2693" xr:uid="{00000000-0005-0000-0000-0000850A0000}"/>
    <cellStyle name="Accent1 49 2" xfId="2694" xr:uid="{00000000-0005-0000-0000-0000860A0000}"/>
    <cellStyle name="Accent1 49 2 2" xfId="2695" xr:uid="{00000000-0005-0000-0000-0000870A0000}"/>
    <cellStyle name="Accent1 49 3" xfId="2696" xr:uid="{00000000-0005-0000-0000-0000880A0000}"/>
    <cellStyle name="Accent1 49 3 2" xfId="2697" xr:uid="{00000000-0005-0000-0000-0000890A0000}"/>
    <cellStyle name="Accent1 49 3 2 2" xfId="2698" xr:uid="{00000000-0005-0000-0000-00008A0A0000}"/>
    <cellStyle name="Accent1 49 3 3" xfId="2699" xr:uid="{00000000-0005-0000-0000-00008B0A0000}"/>
    <cellStyle name="Accent1 49 4" xfId="2700" xr:uid="{00000000-0005-0000-0000-00008C0A0000}"/>
    <cellStyle name="Accent1 5" xfId="2701" xr:uid="{00000000-0005-0000-0000-00008D0A0000}"/>
    <cellStyle name="Accent1 5 2" xfId="2702" xr:uid="{00000000-0005-0000-0000-00008E0A0000}"/>
    <cellStyle name="Accent1 5 2 2" xfId="2703" xr:uid="{00000000-0005-0000-0000-00008F0A0000}"/>
    <cellStyle name="Accent1 5 2 2 2" xfId="2704" xr:uid="{00000000-0005-0000-0000-0000900A0000}"/>
    <cellStyle name="Accent1 5 2 3" xfId="2705" xr:uid="{00000000-0005-0000-0000-0000910A0000}"/>
    <cellStyle name="Accent1 5 2 3 2" xfId="2706" xr:uid="{00000000-0005-0000-0000-0000920A0000}"/>
    <cellStyle name="Accent1 5 2 3 2 2" xfId="2707" xr:uid="{00000000-0005-0000-0000-0000930A0000}"/>
    <cellStyle name="Accent1 5 2 3 3" xfId="2708" xr:uid="{00000000-0005-0000-0000-0000940A0000}"/>
    <cellStyle name="Accent1 5 2 4" xfId="2709" xr:uid="{00000000-0005-0000-0000-0000950A0000}"/>
    <cellStyle name="Accent1 5 3" xfId="2710" xr:uid="{00000000-0005-0000-0000-0000960A0000}"/>
    <cellStyle name="Accent1 5 3 2" xfId="2711" xr:uid="{00000000-0005-0000-0000-0000970A0000}"/>
    <cellStyle name="Accent1 5 3 2 2" xfId="2712" xr:uid="{00000000-0005-0000-0000-0000980A0000}"/>
    <cellStyle name="Accent1 5 3 3" xfId="2713" xr:uid="{00000000-0005-0000-0000-0000990A0000}"/>
    <cellStyle name="Accent1 5 3 3 2" xfId="2714" xr:uid="{00000000-0005-0000-0000-00009A0A0000}"/>
    <cellStyle name="Accent1 5 3 3 2 2" xfId="2715" xr:uid="{00000000-0005-0000-0000-00009B0A0000}"/>
    <cellStyle name="Accent1 5 3 3 3" xfId="2716" xr:uid="{00000000-0005-0000-0000-00009C0A0000}"/>
    <cellStyle name="Accent1 5 3 4" xfId="2717" xr:uid="{00000000-0005-0000-0000-00009D0A0000}"/>
    <cellStyle name="Accent1 5 4" xfId="2718" xr:uid="{00000000-0005-0000-0000-00009E0A0000}"/>
    <cellStyle name="Accent1 5 4 2" xfId="2719" xr:uid="{00000000-0005-0000-0000-00009F0A0000}"/>
    <cellStyle name="Accent1 5 5" xfId="2720" xr:uid="{00000000-0005-0000-0000-0000A00A0000}"/>
    <cellStyle name="Accent1 5 5 2" xfId="2721" xr:uid="{00000000-0005-0000-0000-0000A10A0000}"/>
    <cellStyle name="Accent1 5 6" xfId="2722" xr:uid="{00000000-0005-0000-0000-0000A20A0000}"/>
    <cellStyle name="Accent1 50" xfId="2723" xr:uid="{00000000-0005-0000-0000-0000A30A0000}"/>
    <cellStyle name="Accent1 50 2" xfId="2724" xr:uid="{00000000-0005-0000-0000-0000A40A0000}"/>
    <cellStyle name="Accent1 50 2 2" xfId="2725" xr:uid="{00000000-0005-0000-0000-0000A50A0000}"/>
    <cellStyle name="Accent1 50 3" xfId="2726" xr:uid="{00000000-0005-0000-0000-0000A60A0000}"/>
    <cellStyle name="Accent1 50 3 2" xfId="2727" xr:uid="{00000000-0005-0000-0000-0000A70A0000}"/>
    <cellStyle name="Accent1 50 3 2 2" xfId="2728" xr:uid="{00000000-0005-0000-0000-0000A80A0000}"/>
    <cellStyle name="Accent1 50 3 3" xfId="2729" xr:uid="{00000000-0005-0000-0000-0000A90A0000}"/>
    <cellStyle name="Accent1 50 4" xfId="2730" xr:uid="{00000000-0005-0000-0000-0000AA0A0000}"/>
    <cellStyle name="Accent1 51" xfId="2731" xr:uid="{00000000-0005-0000-0000-0000AB0A0000}"/>
    <cellStyle name="Accent1 51 2" xfId="2732" xr:uid="{00000000-0005-0000-0000-0000AC0A0000}"/>
    <cellStyle name="Accent1 51 2 2" xfId="2733" xr:uid="{00000000-0005-0000-0000-0000AD0A0000}"/>
    <cellStyle name="Accent1 51 3" xfId="2734" xr:uid="{00000000-0005-0000-0000-0000AE0A0000}"/>
    <cellStyle name="Accent1 51 3 2" xfId="2735" xr:uid="{00000000-0005-0000-0000-0000AF0A0000}"/>
    <cellStyle name="Accent1 51 3 2 2" xfId="2736" xr:uid="{00000000-0005-0000-0000-0000B00A0000}"/>
    <cellStyle name="Accent1 51 3 3" xfId="2737" xr:uid="{00000000-0005-0000-0000-0000B10A0000}"/>
    <cellStyle name="Accent1 51 4" xfId="2738" xr:uid="{00000000-0005-0000-0000-0000B20A0000}"/>
    <cellStyle name="Accent1 52" xfId="2739" xr:uid="{00000000-0005-0000-0000-0000B30A0000}"/>
    <cellStyle name="Accent1 52 2" xfId="2740" xr:uid="{00000000-0005-0000-0000-0000B40A0000}"/>
    <cellStyle name="Accent1 52 2 2" xfId="2741" xr:uid="{00000000-0005-0000-0000-0000B50A0000}"/>
    <cellStyle name="Accent1 52 3" xfId="2742" xr:uid="{00000000-0005-0000-0000-0000B60A0000}"/>
    <cellStyle name="Accent1 53" xfId="2743" xr:uid="{00000000-0005-0000-0000-0000B70A0000}"/>
    <cellStyle name="Accent1 53 2" xfId="2744" xr:uid="{00000000-0005-0000-0000-0000B80A0000}"/>
    <cellStyle name="Accent1 53 2 2" xfId="2745" xr:uid="{00000000-0005-0000-0000-0000B90A0000}"/>
    <cellStyle name="Accent1 53 3" xfId="2746" xr:uid="{00000000-0005-0000-0000-0000BA0A0000}"/>
    <cellStyle name="Accent1 54" xfId="2747" xr:uid="{00000000-0005-0000-0000-0000BB0A0000}"/>
    <cellStyle name="Accent1 54 2" xfId="2748" xr:uid="{00000000-0005-0000-0000-0000BC0A0000}"/>
    <cellStyle name="Accent1 54 2 2" xfId="2749" xr:uid="{00000000-0005-0000-0000-0000BD0A0000}"/>
    <cellStyle name="Accent1 54 3" xfId="2750" xr:uid="{00000000-0005-0000-0000-0000BE0A0000}"/>
    <cellStyle name="Accent1 55" xfId="2751" xr:uid="{00000000-0005-0000-0000-0000BF0A0000}"/>
    <cellStyle name="Accent1 55 2" xfId="2752" xr:uid="{00000000-0005-0000-0000-0000C00A0000}"/>
    <cellStyle name="Accent1 55 2 2" xfId="2753" xr:uid="{00000000-0005-0000-0000-0000C10A0000}"/>
    <cellStyle name="Accent1 55 3" xfId="2754" xr:uid="{00000000-0005-0000-0000-0000C20A0000}"/>
    <cellStyle name="Accent1 56" xfId="2755" xr:uid="{00000000-0005-0000-0000-0000C30A0000}"/>
    <cellStyle name="Accent1 56 2" xfId="2756" xr:uid="{00000000-0005-0000-0000-0000C40A0000}"/>
    <cellStyle name="Accent1 56 2 2" xfId="2757" xr:uid="{00000000-0005-0000-0000-0000C50A0000}"/>
    <cellStyle name="Accent1 56 3" xfId="2758" xr:uid="{00000000-0005-0000-0000-0000C60A0000}"/>
    <cellStyle name="Accent1 57" xfId="2759" xr:uid="{00000000-0005-0000-0000-0000C70A0000}"/>
    <cellStyle name="Accent1 57 2" xfId="2760" xr:uid="{00000000-0005-0000-0000-0000C80A0000}"/>
    <cellStyle name="Accent1 57 2 2" xfId="2761" xr:uid="{00000000-0005-0000-0000-0000C90A0000}"/>
    <cellStyle name="Accent1 57 3" xfId="2762" xr:uid="{00000000-0005-0000-0000-0000CA0A0000}"/>
    <cellStyle name="Accent1 58" xfId="2763" xr:uid="{00000000-0005-0000-0000-0000CB0A0000}"/>
    <cellStyle name="Accent1 58 2" xfId="2764" xr:uid="{00000000-0005-0000-0000-0000CC0A0000}"/>
    <cellStyle name="Accent1 58 2 2" xfId="2765" xr:uid="{00000000-0005-0000-0000-0000CD0A0000}"/>
    <cellStyle name="Accent1 58 3" xfId="2766" xr:uid="{00000000-0005-0000-0000-0000CE0A0000}"/>
    <cellStyle name="Accent1 58 3 2" xfId="2767" xr:uid="{00000000-0005-0000-0000-0000CF0A0000}"/>
    <cellStyle name="Accent1 58 3 2 2" xfId="2768" xr:uid="{00000000-0005-0000-0000-0000D00A0000}"/>
    <cellStyle name="Accent1 58 3 3" xfId="2769" xr:uid="{00000000-0005-0000-0000-0000D10A0000}"/>
    <cellStyle name="Accent1 58 4" xfId="2770" xr:uid="{00000000-0005-0000-0000-0000D20A0000}"/>
    <cellStyle name="Accent1 59" xfId="2771" xr:uid="{00000000-0005-0000-0000-0000D30A0000}"/>
    <cellStyle name="Accent1 59 2" xfId="2772" xr:uid="{00000000-0005-0000-0000-0000D40A0000}"/>
    <cellStyle name="Accent1 59 2 2" xfId="2773" xr:uid="{00000000-0005-0000-0000-0000D50A0000}"/>
    <cellStyle name="Accent1 59 3" xfId="2774" xr:uid="{00000000-0005-0000-0000-0000D60A0000}"/>
    <cellStyle name="Accent1 59 3 2" xfId="2775" xr:uid="{00000000-0005-0000-0000-0000D70A0000}"/>
    <cellStyle name="Accent1 59 3 2 2" xfId="2776" xr:uid="{00000000-0005-0000-0000-0000D80A0000}"/>
    <cellStyle name="Accent1 59 3 3" xfId="2777" xr:uid="{00000000-0005-0000-0000-0000D90A0000}"/>
    <cellStyle name="Accent1 59 4" xfId="2778" xr:uid="{00000000-0005-0000-0000-0000DA0A0000}"/>
    <cellStyle name="Accent1 6" xfId="2779" xr:uid="{00000000-0005-0000-0000-0000DB0A0000}"/>
    <cellStyle name="Accent1 6 2" xfId="2780" xr:uid="{00000000-0005-0000-0000-0000DC0A0000}"/>
    <cellStyle name="Accent1 6 2 2" xfId="2781" xr:uid="{00000000-0005-0000-0000-0000DD0A0000}"/>
    <cellStyle name="Accent1 6 2 2 2" xfId="2782" xr:uid="{00000000-0005-0000-0000-0000DE0A0000}"/>
    <cellStyle name="Accent1 6 2 3" xfId="2783" xr:uid="{00000000-0005-0000-0000-0000DF0A0000}"/>
    <cellStyle name="Accent1 6 2 3 2" xfId="2784" xr:uid="{00000000-0005-0000-0000-0000E00A0000}"/>
    <cellStyle name="Accent1 6 2 3 2 2" xfId="2785" xr:uid="{00000000-0005-0000-0000-0000E10A0000}"/>
    <cellStyle name="Accent1 6 2 3 3" xfId="2786" xr:uid="{00000000-0005-0000-0000-0000E20A0000}"/>
    <cellStyle name="Accent1 6 2 4" xfId="2787" xr:uid="{00000000-0005-0000-0000-0000E30A0000}"/>
    <cellStyle name="Accent1 6 3" xfId="2788" xr:uid="{00000000-0005-0000-0000-0000E40A0000}"/>
    <cellStyle name="Accent1 6 3 2" xfId="2789" xr:uid="{00000000-0005-0000-0000-0000E50A0000}"/>
    <cellStyle name="Accent1 6 4" xfId="2790" xr:uid="{00000000-0005-0000-0000-0000E60A0000}"/>
    <cellStyle name="Accent1 60" xfId="2791" xr:uid="{00000000-0005-0000-0000-0000E70A0000}"/>
    <cellStyle name="Accent1 60 2" xfId="2792" xr:uid="{00000000-0005-0000-0000-0000E80A0000}"/>
    <cellStyle name="Accent1 60 2 2" xfId="2793" xr:uid="{00000000-0005-0000-0000-0000E90A0000}"/>
    <cellStyle name="Accent1 60 3" xfId="2794" xr:uid="{00000000-0005-0000-0000-0000EA0A0000}"/>
    <cellStyle name="Accent1 60 3 2" xfId="2795" xr:uid="{00000000-0005-0000-0000-0000EB0A0000}"/>
    <cellStyle name="Accent1 60 3 2 2" xfId="2796" xr:uid="{00000000-0005-0000-0000-0000EC0A0000}"/>
    <cellStyle name="Accent1 60 3 3" xfId="2797" xr:uid="{00000000-0005-0000-0000-0000ED0A0000}"/>
    <cellStyle name="Accent1 60 4" xfId="2798" xr:uid="{00000000-0005-0000-0000-0000EE0A0000}"/>
    <cellStyle name="Accent1 61" xfId="2799" xr:uid="{00000000-0005-0000-0000-0000EF0A0000}"/>
    <cellStyle name="Accent1 61 2" xfId="2800" xr:uid="{00000000-0005-0000-0000-0000F00A0000}"/>
    <cellStyle name="Accent1 61 2 2" xfId="2801" xr:uid="{00000000-0005-0000-0000-0000F10A0000}"/>
    <cellStyle name="Accent1 61 3" xfId="2802" xr:uid="{00000000-0005-0000-0000-0000F20A0000}"/>
    <cellStyle name="Accent1 61 3 2" xfId="2803" xr:uid="{00000000-0005-0000-0000-0000F30A0000}"/>
    <cellStyle name="Accent1 61 3 2 2" xfId="2804" xr:uid="{00000000-0005-0000-0000-0000F40A0000}"/>
    <cellStyle name="Accent1 61 3 3" xfId="2805" xr:uid="{00000000-0005-0000-0000-0000F50A0000}"/>
    <cellStyle name="Accent1 61 4" xfId="2806" xr:uid="{00000000-0005-0000-0000-0000F60A0000}"/>
    <cellStyle name="Accent1 62" xfId="2807" xr:uid="{00000000-0005-0000-0000-0000F70A0000}"/>
    <cellStyle name="Accent1 62 2" xfId="2808" xr:uid="{00000000-0005-0000-0000-0000F80A0000}"/>
    <cellStyle name="Accent1 62 2 2" xfId="2809" xr:uid="{00000000-0005-0000-0000-0000F90A0000}"/>
    <cellStyle name="Accent1 62 3" xfId="2810" xr:uid="{00000000-0005-0000-0000-0000FA0A0000}"/>
    <cellStyle name="Accent1 62 3 2" xfId="2811" xr:uid="{00000000-0005-0000-0000-0000FB0A0000}"/>
    <cellStyle name="Accent1 62 3 2 2" xfId="2812" xr:uid="{00000000-0005-0000-0000-0000FC0A0000}"/>
    <cellStyle name="Accent1 62 3 3" xfId="2813" xr:uid="{00000000-0005-0000-0000-0000FD0A0000}"/>
    <cellStyle name="Accent1 62 4" xfId="2814" xr:uid="{00000000-0005-0000-0000-0000FE0A0000}"/>
    <cellStyle name="Accent1 63" xfId="2815" xr:uid="{00000000-0005-0000-0000-0000FF0A0000}"/>
    <cellStyle name="Accent1 63 2" xfId="2816" xr:uid="{00000000-0005-0000-0000-0000000B0000}"/>
    <cellStyle name="Accent1 63 2 2" xfId="2817" xr:uid="{00000000-0005-0000-0000-0000010B0000}"/>
    <cellStyle name="Accent1 63 3" xfId="2818" xr:uid="{00000000-0005-0000-0000-0000020B0000}"/>
    <cellStyle name="Accent1 63 3 2" xfId="2819" xr:uid="{00000000-0005-0000-0000-0000030B0000}"/>
    <cellStyle name="Accent1 63 3 2 2" xfId="2820" xr:uid="{00000000-0005-0000-0000-0000040B0000}"/>
    <cellStyle name="Accent1 63 3 3" xfId="2821" xr:uid="{00000000-0005-0000-0000-0000050B0000}"/>
    <cellStyle name="Accent1 63 4" xfId="2822" xr:uid="{00000000-0005-0000-0000-0000060B0000}"/>
    <cellStyle name="Accent1 64" xfId="2823" xr:uid="{00000000-0005-0000-0000-0000070B0000}"/>
    <cellStyle name="Accent1 64 2" xfId="2824" xr:uid="{00000000-0005-0000-0000-0000080B0000}"/>
    <cellStyle name="Accent1 64 2 2" xfId="2825" xr:uid="{00000000-0005-0000-0000-0000090B0000}"/>
    <cellStyle name="Accent1 64 3" xfId="2826" xr:uid="{00000000-0005-0000-0000-00000A0B0000}"/>
    <cellStyle name="Accent1 64 3 2" xfId="2827" xr:uid="{00000000-0005-0000-0000-00000B0B0000}"/>
    <cellStyle name="Accent1 64 3 2 2" xfId="2828" xr:uid="{00000000-0005-0000-0000-00000C0B0000}"/>
    <cellStyle name="Accent1 64 3 3" xfId="2829" xr:uid="{00000000-0005-0000-0000-00000D0B0000}"/>
    <cellStyle name="Accent1 64 4" xfId="2830" xr:uid="{00000000-0005-0000-0000-00000E0B0000}"/>
    <cellStyle name="Accent1 65" xfId="2831" xr:uid="{00000000-0005-0000-0000-00000F0B0000}"/>
    <cellStyle name="Accent1 65 2" xfId="2832" xr:uid="{00000000-0005-0000-0000-0000100B0000}"/>
    <cellStyle name="Accent1 65 2 2" xfId="2833" xr:uid="{00000000-0005-0000-0000-0000110B0000}"/>
    <cellStyle name="Accent1 65 3" xfId="2834" xr:uid="{00000000-0005-0000-0000-0000120B0000}"/>
    <cellStyle name="Accent1 65 3 2" xfId="2835" xr:uid="{00000000-0005-0000-0000-0000130B0000}"/>
    <cellStyle name="Accent1 65 3 2 2" xfId="2836" xr:uid="{00000000-0005-0000-0000-0000140B0000}"/>
    <cellStyle name="Accent1 65 3 3" xfId="2837" xr:uid="{00000000-0005-0000-0000-0000150B0000}"/>
    <cellStyle name="Accent1 65 4" xfId="2838" xr:uid="{00000000-0005-0000-0000-0000160B0000}"/>
    <cellStyle name="Accent1 66" xfId="2839" xr:uid="{00000000-0005-0000-0000-0000170B0000}"/>
    <cellStyle name="Accent1 66 2" xfId="2840" xr:uid="{00000000-0005-0000-0000-0000180B0000}"/>
    <cellStyle name="Accent1 66 2 2" xfId="2841" xr:uid="{00000000-0005-0000-0000-0000190B0000}"/>
    <cellStyle name="Accent1 66 3" xfId="2842" xr:uid="{00000000-0005-0000-0000-00001A0B0000}"/>
    <cellStyle name="Accent1 66 3 2" xfId="2843" xr:uid="{00000000-0005-0000-0000-00001B0B0000}"/>
    <cellStyle name="Accent1 66 3 2 2" xfId="2844" xr:uid="{00000000-0005-0000-0000-00001C0B0000}"/>
    <cellStyle name="Accent1 66 3 3" xfId="2845" xr:uid="{00000000-0005-0000-0000-00001D0B0000}"/>
    <cellStyle name="Accent1 66 4" xfId="2846" xr:uid="{00000000-0005-0000-0000-00001E0B0000}"/>
    <cellStyle name="Accent1 67" xfId="2847" xr:uid="{00000000-0005-0000-0000-00001F0B0000}"/>
    <cellStyle name="Accent1 67 2" xfId="2848" xr:uid="{00000000-0005-0000-0000-0000200B0000}"/>
    <cellStyle name="Accent1 67 2 2" xfId="2849" xr:uid="{00000000-0005-0000-0000-0000210B0000}"/>
    <cellStyle name="Accent1 67 3" xfId="2850" xr:uid="{00000000-0005-0000-0000-0000220B0000}"/>
    <cellStyle name="Accent1 67 3 2" xfId="2851" xr:uid="{00000000-0005-0000-0000-0000230B0000}"/>
    <cellStyle name="Accent1 67 3 2 2" xfId="2852" xr:uid="{00000000-0005-0000-0000-0000240B0000}"/>
    <cellStyle name="Accent1 67 3 3" xfId="2853" xr:uid="{00000000-0005-0000-0000-0000250B0000}"/>
    <cellStyle name="Accent1 67 4" xfId="2854" xr:uid="{00000000-0005-0000-0000-0000260B0000}"/>
    <cellStyle name="Accent1 68" xfId="2855" xr:uid="{00000000-0005-0000-0000-0000270B0000}"/>
    <cellStyle name="Accent1 68 2" xfId="2856" xr:uid="{00000000-0005-0000-0000-0000280B0000}"/>
    <cellStyle name="Accent1 68 2 2" xfId="2857" xr:uid="{00000000-0005-0000-0000-0000290B0000}"/>
    <cellStyle name="Accent1 68 3" xfId="2858" xr:uid="{00000000-0005-0000-0000-00002A0B0000}"/>
    <cellStyle name="Accent1 68 3 2" xfId="2859" xr:uid="{00000000-0005-0000-0000-00002B0B0000}"/>
    <cellStyle name="Accent1 68 3 2 2" xfId="2860" xr:uid="{00000000-0005-0000-0000-00002C0B0000}"/>
    <cellStyle name="Accent1 68 3 3" xfId="2861" xr:uid="{00000000-0005-0000-0000-00002D0B0000}"/>
    <cellStyle name="Accent1 68 4" xfId="2862" xr:uid="{00000000-0005-0000-0000-00002E0B0000}"/>
    <cellStyle name="Accent1 69" xfId="2863" xr:uid="{00000000-0005-0000-0000-00002F0B0000}"/>
    <cellStyle name="Accent1 69 2" xfId="2864" xr:uid="{00000000-0005-0000-0000-0000300B0000}"/>
    <cellStyle name="Accent1 69 2 2" xfId="2865" xr:uid="{00000000-0005-0000-0000-0000310B0000}"/>
    <cellStyle name="Accent1 69 3" xfId="2866" xr:uid="{00000000-0005-0000-0000-0000320B0000}"/>
    <cellStyle name="Accent1 69 3 2" xfId="2867" xr:uid="{00000000-0005-0000-0000-0000330B0000}"/>
    <cellStyle name="Accent1 69 3 2 2" xfId="2868" xr:uid="{00000000-0005-0000-0000-0000340B0000}"/>
    <cellStyle name="Accent1 69 3 3" xfId="2869" xr:uid="{00000000-0005-0000-0000-0000350B0000}"/>
    <cellStyle name="Accent1 69 4" xfId="2870" xr:uid="{00000000-0005-0000-0000-0000360B0000}"/>
    <cellStyle name="Accent1 7" xfId="2871" xr:uid="{00000000-0005-0000-0000-0000370B0000}"/>
    <cellStyle name="Accent1 7 2" xfId="2872" xr:uid="{00000000-0005-0000-0000-0000380B0000}"/>
    <cellStyle name="Accent1 7 2 2" xfId="2873" xr:uid="{00000000-0005-0000-0000-0000390B0000}"/>
    <cellStyle name="Accent1 7 2 2 2" xfId="2874" xr:uid="{00000000-0005-0000-0000-00003A0B0000}"/>
    <cellStyle name="Accent1 7 2 3" xfId="2875" xr:uid="{00000000-0005-0000-0000-00003B0B0000}"/>
    <cellStyle name="Accent1 7 2 3 2" xfId="2876" xr:uid="{00000000-0005-0000-0000-00003C0B0000}"/>
    <cellStyle name="Accent1 7 2 3 2 2" xfId="2877" xr:uid="{00000000-0005-0000-0000-00003D0B0000}"/>
    <cellStyle name="Accent1 7 2 3 3" xfId="2878" xr:uid="{00000000-0005-0000-0000-00003E0B0000}"/>
    <cellStyle name="Accent1 7 2 4" xfId="2879" xr:uid="{00000000-0005-0000-0000-00003F0B0000}"/>
    <cellStyle name="Accent1 7 3" xfId="2880" xr:uid="{00000000-0005-0000-0000-0000400B0000}"/>
    <cellStyle name="Accent1 7 3 2" xfId="2881" xr:uid="{00000000-0005-0000-0000-0000410B0000}"/>
    <cellStyle name="Accent1 7 4" xfId="2882" xr:uid="{00000000-0005-0000-0000-0000420B0000}"/>
    <cellStyle name="Accent1 70" xfId="2883" xr:uid="{00000000-0005-0000-0000-0000430B0000}"/>
    <cellStyle name="Accent1 70 2" xfId="2884" xr:uid="{00000000-0005-0000-0000-0000440B0000}"/>
    <cellStyle name="Accent1 70 2 2" xfId="2885" xr:uid="{00000000-0005-0000-0000-0000450B0000}"/>
    <cellStyle name="Accent1 70 3" xfId="2886" xr:uid="{00000000-0005-0000-0000-0000460B0000}"/>
    <cellStyle name="Accent1 70 3 2" xfId="2887" xr:uid="{00000000-0005-0000-0000-0000470B0000}"/>
    <cellStyle name="Accent1 70 3 2 2" xfId="2888" xr:uid="{00000000-0005-0000-0000-0000480B0000}"/>
    <cellStyle name="Accent1 70 3 3" xfId="2889" xr:uid="{00000000-0005-0000-0000-0000490B0000}"/>
    <cellStyle name="Accent1 70 4" xfId="2890" xr:uid="{00000000-0005-0000-0000-00004A0B0000}"/>
    <cellStyle name="Accent1 71" xfId="2891" xr:uid="{00000000-0005-0000-0000-00004B0B0000}"/>
    <cellStyle name="Accent1 71 2" xfId="2892" xr:uid="{00000000-0005-0000-0000-00004C0B0000}"/>
    <cellStyle name="Accent1 71 2 2" xfId="2893" xr:uid="{00000000-0005-0000-0000-00004D0B0000}"/>
    <cellStyle name="Accent1 71 3" xfId="2894" xr:uid="{00000000-0005-0000-0000-00004E0B0000}"/>
    <cellStyle name="Accent1 71 3 2" xfId="2895" xr:uid="{00000000-0005-0000-0000-00004F0B0000}"/>
    <cellStyle name="Accent1 71 3 2 2" xfId="2896" xr:uid="{00000000-0005-0000-0000-0000500B0000}"/>
    <cellStyle name="Accent1 71 3 3" xfId="2897" xr:uid="{00000000-0005-0000-0000-0000510B0000}"/>
    <cellStyle name="Accent1 71 4" xfId="2898" xr:uid="{00000000-0005-0000-0000-0000520B0000}"/>
    <cellStyle name="Accent1 72" xfId="2899" xr:uid="{00000000-0005-0000-0000-0000530B0000}"/>
    <cellStyle name="Accent1 72 2" xfId="2900" xr:uid="{00000000-0005-0000-0000-0000540B0000}"/>
    <cellStyle name="Accent1 72 2 2" xfId="2901" xr:uid="{00000000-0005-0000-0000-0000550B0000}"/>
    <cellStyle name="Accent1 72 3" xfId="2902" xr:uid="{00000000-0005-0000-0000-0000560B0000}"/>
    <cellStyle name="Accent1 72 3 2" xfId="2903" xr:uid="{00000000-0005-0000-0000-0000570B0000}"/>
    <cellStyle name="Accent1 72 3 2 2" xfId="2904" xr:uid="{00000000-0005-0000-0000-0000580B0000}"/>
    <cellStyle name="Accent1 72 3 3" xfId="2905" xr:uid="{00000000-0005-0000-0000-0000590B0000}"/>
    <cellStyle name="Accent1 72 4" xfId="2906" xr:uid="{00000000-0005-0000-0000-00005A0B0000}"/>
    <cellStyle name="Accent1 73" xfId="2907" xr:uid="{00000000-0005-0000-0000-00005B0B0000}"/>
    <cellStyle name="Accent1 73 2" xfId="2908" xr:uid="{00000000-0005-0000-0000-00005C0B0000}"/>
    <cellStyle name="Accent1 73 2 2" xfId="2909" xr:uid="{00000000-0005-0000-0000-00005D0B0000}"/>
    <cellStyle name="Accent1 73 3" xfId="2910" xr:uid="{00000000-0005-0000-0000-00005E0B0000}"/>
    <cellStyle name="Accent1 73 3 2" xfId="2911" xr:uid="{00000000-0005-0000-0000-00005F0B0000}"/>
    <cellStyle name="Accent1 73 3 2 2" xfId="2912" xr:uid="{00000000-0005-0000-0000-0000600B0000}"/>
    <cellStyle name="Accent1 73 3 3" xfId="2913" xr:uid="{00000000-0005-0000-0000-0000610B0000}"/>
    <cellStyle name="Accent1 73 4" xfId="2914" xr:uid="{00000000-0005-0000-0000-0000620B0000}"/>
    <cellStyle name="Accent1 74" xfId="2915" xr:uid="{00000000-0005-0000-0000-0000630B0000}"/>
    <cellStyle name="Accent1 74 2" xfId="2916" xr:uid="{00000000-0005-0000-0000-0000640B0000}"/>
    <cellStyle name="Accent1 74 2 2" xfId="2917" xr:uid="{00000000-0005-0000-0000-0000650B0000}"/>
    <cellStyle name="Accent1 74 3" xfId="2918" xr:uid="{00000000-0005-0000-0000-0000660B0000}"/>
    <cellStyle name="Accent1 74 3 2" xfId="2919" xr:uid="{00000000-0005-0000-0000-0000670B0000}"/>
    <cellStyle name="Accent1 74 3 2 2" xfId="2920" xr:uid="{00000000-0005-0000-0000-0000680B0000}"/>
    <cellStyle name="Accent1 74 3 3" xfId="2921" xr:uid="{00000000-0005-0000-0000-0000690B0000}"/>
    <cellStyle name="Accent1 74 4" xfId="2922" xr:uid="{00000000-0005-0000-0000-00006A0B0000}"/>
    <cellStyle name="Accent1 75" xfId="2923" xr:uid="{00000000-0005-0000-0000-00006B0B0000}"/>
    <cellStyle name="Accent1 75 2" xfId="2924" xr:uid="{00000000-0005-0000-0000-00006C0B0000}"/>
    <cellStyle name="Accent1 75 2 2" xfId="2925" xr:uid="{00000000-0005-0000-0000-00006D0B0000}"/>
    <cellStyle name="Accent1 75 3" xfId="2926" xr:uid="{00000000-0005-0000-0000-00006E0B0000}"/>
    <cellStyle name="Accent1 75 3 2" xfId="2927" xr:uid="{00000000-0005-0000-0000-00006F0B0000}"/>
    <cellStyle name="Accent1 75 3 2 2" xfId="2928" xr:uid="{00000000-0005-0000-0000-0000700B0000}"/>
    <cellStyle name="Accent1 75 3 3" xfId="2929" xr:uid="{00000000-0005-0000-0000-0000710B0000}"/>
    <cellStyle name="Accent1 75 4" xfId="2930" xr:uid="{00000000-0005-0000-0000-0000720B0000}"/>
    <cellStyle name="Accent1 76" xfId="2931" xr:uid="{00000000-0005-0000-0000-0000730B0000}"/>
    <cellStyle name="Accent1 76 2" xfId="2932" xr:uid="{00000000-0005-0000-0000-0000740B0000}"/>
    <cellStyle name="Accent1 76 2 2" xfId="2933" xr:uid="{00000000-0005-0000-0000-0000750B0000}"/>
    <cellStyle name="Accent1 76 3" xfId="2934" xr:uid="{00000000-0005-0000-0000-0000760B0000}"/>
    <cellStyle name="Accent1 76 3 2" xfId="2935" xr:uid="{00000000-0005-0000-0000-0000770B0000}"/>
    <cellStyle name="Accent1 76 3 2 2" xfId="2936" xr:uid="{00000000-0005-0000-0000-0000780B0000}"/>
    <cellStyle name="Accent1 76 3 3" xfId="2937" xr:uid="{00000000-0005-0000-0000-0000790B0000}"/>
    <cellStyle name="Accent1 76 4" xfId="2938" xr:uid="{00000000-0005-0000-0000-00007A0B0000}"/>
    <cellStyle name="Accent1 77" xfId="2939" xr:uid="{00000000-0005-0000-0000-00007B0B0000}"/>
    <cellStyle name="Accent1 77 2" xfId="2940" xr:uid="{00000000-0005-0000-0000-00007C0B0000}"/>
    <cellStyle name="Accent1 77 2 2" xfId="2941" xr:uid="{00000000-0005-0000-0000-00007D0B0000}"/>
    <cellStyle name="Accent1 77 3" xfId="2942" xr:uid="{00000000-0005-0000-0000-00007E0B0000}"/>
    <cellStyle name="Accent1 77 3 2" xfId="2943" xr:uid="{00000000-0005-0000-0000-00007F0B0000}"/>
    <cellStyle name="Accent1 77 3 2 2" xfId="2944" xr:uid="{00000000-0005-0000-0000-0000800B0000}"/>
    <cellStyle name="Accent1 77 3 3" xfId="2945" xr:uid="{00000000-0005-0000-0000-0000810B0000}"/>
    <cellStyle name="Accent1 77 4" xfId="2946" xr:uid="{00000000-0005-0000-0000-0000820B0000}"/>
    <cellStyle name="Accent1 78" xfId="2947" xr:uid="{00000000-0005-0000-0000-0000830B0000}"/>
    <cellStyle name="Accent1 78 2" xfId="2948" xr:uid="{00000000-0005-0000-0000-0000840B0000}"/>
    <cellStyle name="Accent1 78 2 2" xfId="2949" xr:uid="{00000000-0005-0000-0000-0000850B0000}"/>
    <cellStyle name="Accent1 78 3" xfId="2950" xr:uid="{00000000-0005-0000-0000-0000860B0000}"/>
    <cellStyle name="Accent1 78 3 2" xfId="2951" xr:uid="{00000000-0005-0000-0000-0000870B0000}"/>
    <cellStyle name="Accent1 78 3 2 2" xfId="2952" xr:uid="{00000000-0005-0000-0000-0000880B0000}"/>
    <cellStyle name="Accent1 78 3 3" xfId="2953" xr:uid="{00000000-0005-0000-0000-0000890B0000}"/>
    <cellStyle name="Accent1 78 4" xfId="2954" xr:uid="{00000000-0005-0000-0000-00008A0B0000}"/>
    <cellStyle name="Accent1 79" xfId="2955" xr:uid="{00000000-0005-0000-0000-00008B0B0000}"/>
    <cellStyle name="Accent1 79 2" xfId="2956" xr:uid="{00000000-0005-0000-0000-00008C0B0000}"/>
    <cellStyle name="Accent1 79 2 2" xfId="2957" xr:uid="{00000000-0005-0000-0000-00008D0B0000}"/>
    <cellStyle name="Accent1 79 3" xfId="2958" xr:uid="{00000000-0005-0000-0000-00008E0B0000}"/>
    <cellStyle name="Accent1 79 3 2" xfId="2959" xr:uid="{00000000-0005-0000-0000-00008F0B0000}"/>
    <cellStyle name="Accent1 79 3 2 2" xfId="2960" xr:uid="{00000000-0005-0000-0000-0000900B0000}"/>
    <cellStyle name="Accent1 79 3 3" xfId="2961" xr:uid="{00000000-0005-0000-0000-0000910B0000}"/>
    <cellStyle name="Accent1 79 4" xfId="2962" xr:uid="{00000000-0005-0000-0000-0000920B0000}"/>
    <cellStyle name="Accent1 8" xfId="2963" xr:uid="{00000000-0005-0000-0000-0000930B0000}"/>
    <cellStyle name="Accent1 8 2" xfId="2964" xr:uid="{00000000-0005-0000-0000-0000940B0000}"/>
    <cellStyle name="Accent1 8 2 2" xfId="2965" xr:uid="{00000000-0005-0000-0000-0000950B0000}"/>
    <cellStyle name="Accent1 8 3" xfId="2966" xr:uid="{00000000-0005-0000-0000-0000960B0000}"/>
    <cellStyle name="Accent1 80" xfId="2967" xr:uid="{00000000-0005-0000-0000-0000970B0000}"/>
    <cellStyle name="Accent1 80 2" xfId="2968" xr:uid="{00000000-0005-0000-0000-0000980B0000}"/>
    <cellStyle name="Accent1 80 2 2" xfId="2969" xr:uid="{00000000-0005-0000-0000-0000990B0000}"/>
    <cellStyle name="Accent1 80 3" xfId="2970" xr:uid="{00000000-0005-0000-0000-00009A0B0000}"/>
    <cellStyle name="Accent1 80 3 2" xfId="2971" xr:uid="{00000000-0005-0000-0000-00009B0B0000}"/>
    <cellStyle name="Accent1 80 3 2 2" xfId="2972" xr:uid="{00000000-0005-0000-0000-00009C0B0000}"/>
    <cellStyle name="Accent1 80 3 3" xfId="2973" xr:uid="{00000000-0005-0000-0000-00009D0B0000}"/>
    <cellStyle name="Accent1 80 4" xfId="2974" xr:uid="{00000000-0005-0000-0000-00009E0B0000}"/>
    <cellStyle name="Accent1 81" xfId="2975" xr:uid="{00000000-0005-0000-0000-00009F0B0000}"/>
    <cellStyle name="Accent1 81 2" xfId="2976" xr:uid="{00000000-0005-0000-0000-0000A00B0000}"/>
    <cellStyle name="Accent1 81 2 2" xfId="2977" xr:uid="{00000000-0005-0000-0000-0000A10B0000}"/>
    <cellStyle name="Accent1 81 3" xfId="2978" xr:uid="{00000000-0005-0000-0000-0000A20B0000}"/>
    <cellStyle name="Accent1 81 3 2" xfId="2979" xr:uid="{00000000-0005-0000-0000-0000A30B0000}"/>
    <cellStyle name="Accent1 81 3 2 2" xfId="2980" xr:uid="{00000000-0005-0000-0000-0000A40B0000}"/>
    <cellStyle name="Accent1 81 3 3" xfId="2981" xr:uid="{00000000-0005-0000-0000-0000A50B0000}"/>
    <cellStyle name="Accent1 81 4" xfId="2982" xr:uid="{00000000-0005-0000-0000-0000A60B0000}"/>
    <cellStyle name="Accent1 82" xfId="2983" xr:uid="{00000000-0005-0000-0000-0000A70B0000}"/>
    <cellStyle name="Accent1 82 2" xfId="2984" xr:uid="{00000000-0005-0000-0000-0000A80B0000}"/>
    <cellStyle name="Accent1 82 2 2" xfId="2985" xr:uid="{00000000-0005-0000-0000-0000A90B0000}"/>
    <cellStyle name="Accent1 82 3" xfId="2986" xr:uid="{00000000-0005-0000-0000-0000AA0B0000}"/>
    <cellStyle name="Accent1 82 3 2" xfId="2987" xr:uid="{00000000-0005-0000-0000-0000AB0B0000}"/>
    <cellStyle name="Accent1 82 3 2 2" xfId="2988" xr:uid="{00000000-0005-0000-0000-0000AC0B0000}"/>
    <cellStyle name="Accent1 82 3 3" xfId="2989" xr:uid="{00000000-0005-0000-0000-0000AD0B0000}"/>
    <cellStyle name="Accent1 82 4" xfId="2990" xr:uid="{00000000-0005-0000-0000-0000AE0B0000}"/>
    <cellStyle name="Accent1 83" xfId="2991" xr:uid="{00000000-0005-0000-0000-0000AF0B0000}"/>
    <cellStyle name="Accent1 83 2" xfId="2992" xr:uid="{00000000-0005-0000-0000-0000B00B0000}"/>
    <cellStyle name="Accent1 83 2 2" xfId="2993" xr:uid="{00000000-0005-0000-0000-0000B10B0000}"/>
    <cellStyle name="Accent1 83 3" xfId="2994" xr:uid="{00000000-0005-0000-0000-0000B20B0000}"/>
    <cellStyle name="Accent1 83 3 2" xfId="2995" xr:uid="{00000000-0005-0000-0000-0000B30B0000}"/>
    <cellStyle name="Accent1 83 3 2 2" xfId="2996" xr:uid="{00000000-0005-0000-0000-0000B40B0000}"/>
    <cellStyle name="Accent1 83 3 3" xfId="2997" xr:uid="{00000000-0005-0000-0000-0000B50B0000}"/>
    <cellStyle name="Accent1 83 4" xfId="2998" xr:uid="{00000000-0005-0000-0000-0000B60B0000}"/>
    <cellStyle name="Accent1 84" xfId="2999" xr:uid="{00000000-0005-0000-0000-0000B70B0000}"/>
    <cellStyle name="Accent1 84 2" xfId="3000" xr:uid="{00000000-0005-0000-0000-0000B80B0000}"/>
    <cellStyle name="Accent1 84 2 2" xfId="3001" xr:uid="{00000000-0005-0000-0000-0000B90B0000}"/>
    <cellStyle name="Accent1 84 3" xfId="3002" xr:uid="{00000000-0005-0000-0000-0000BA0B0000}"/>
    <cellStyle name="Accent1 85" xfId="3003" xr:uid="{00000000-0005-0000-0000-0000BB0B0000}"/>
    <cellStyle name="Accent1 85 2" xfId="3004" xr:uid="{00000000-0005-0000-0000-0000BC0B0000}"/>
    <cellStyle name="Accent1 85 2 2" xfId="3005" xr:uid="{00000000-0005-0000-0000-0000BD0B0000}"/>
    <cellStyle name="Accent1 85 3" xfId="3006" xr:uid="{00000000-0005-0000-0000-0000BE0B0000}"/>
    <cellStyle name="Accent1 86" xfId="3007" xr:uid="{00000000-0005-0000-0000-0000BF0B0000}"/>
    <cellStyle name="Accent1 86 2" xfId="3008" xr:uid="{00000000-0005-0000-0000-0000C00B0000}"/>
    <cellStyle name="Accent1 86 2 2" xfId="3009" xr:uid="{00000000-0005-0000-0000-0000C10B0000}"/>
    <cellStyle name="Accent1 86 3" xfId="3010" xr:uid="{00000000-0005-0000-0000-0000C20B0000}"/>
    <cellStyle name="Accent1 87" xfId="3011" xr:uid="{00000000-0005-0000-0000-0000C30B0000}"/>
    <cellStyle name="Accent1 87 2" xfId="3012" xr:uid="{00000000-0005-0000-0000-0000C40B0000}"/>
    <cellStyle name="Accent1 87 2 2" xfId="3013" xr:uid="{00000000-0005-0000-0000-0000C50B0000}"/>
    <cellStyle name="Accent1 87 3" xfId="3014" xr:uid="{00000000-0005-0000-0000-0000C60B0000}"/>
    <cellStyle name="Accent1 88" xfId="3015" xr:uid="{00000000-0005-0000-0000-0000C70B0000}"/>
    <cellStyle name="Accent1 88 2" xfId="3016" xr:uid="{00000000-0005-0000-0000-0000C80B0000}"/>
    <cellStyle name="Accent1 88 2 2" xfId="3017" xr:uid="{00000000-0005-0000-0000-0000C90B0000}"/>
    <cellStyle name="Accent1 88 3" xfId="3018" xr:uid="{00000000-0005-0000-0000-0000CA0B0000}"/>
    <cellStyle name="Accent1 89" xfId="3019" xr:uid="{00000000-0005-0000-0000-0000CB0B0000}"/>
    <cellStyle name="Accent1 89 2" xfId="3020" xr:uid="{00000000-0005-0000-0000-0000CC0B0000}"/>
    <cellStyle name="Accent1 89 2 2" xfId="3021" xr:uid="{00000000-0005-0000-0000-0000CD0B0000}"/>
    <cellStyle name="Accent1 89 3" xfId="3022" xr:uid="{00000000-0005-0000-0000-0000CE0B0000}"/>
    <cellStyle name="Accent1 9" xfId="3023" xr:uid="{00000000-0005-0000-0000-0000CF0B0000}"/>
    <cellStyle name="Accent1 9 2" xfId="3024" xr:uid="{00000000-0005-0000-0000-0000D00B0000}"/>
    <cellStyle name="Accent1 9 2 2" xfId="3025" xr:uid="{00000000-0005-0000-0000-0000D10B0000}"/>
    <cellStyle name="Accent1 9 3" xfId="3026" xr:uid="{00000000-0005-0000-0000-0000D20B0000}"/>
    <cellStyle name="Accent1 90" xfId="3027" xr:uid="{00000000-0005-0000-0000-0000D30B0000}"/>
    <cellStyle name="Accent1 90 2" xfId="3028" xr:uid="{00000000-0005-0000-0000-0000D40B0000}"/>
    <cellStyle name="Accent1 90 2 2" xfId="3029" xr:uid="{00000000-0005-0000-0000-0000D50B0000}"/>
    <cellStyle name="Accent1 90 3" xfId="3030" xr:uid="{00000000-0005-0000-0000-0000D60B0000}"/>
    <cellStyle name="Accent1 91" xfId="3031" xr:uid="{00000000-0005-0000-0000-0000D70B0000}"/>
    <cellStyle name="Accent1 91 2" xfId="3032" xr:uid="{00000000-0005-0000-0000-0000D80B0000}"/>
    <cellStyle name="Accent1 91 2 2" xfId="3033" xr:uid="{00000000-0005-0000-0000-0000D90B0000}"/>
    <cellStyle name="Accent1 91 3" xfId="3034" xr:uid="{00000000-0005-0000-0000-0000DA0B0000}"/>
    <cellStyle name="Accent1 92" xfId="3035" xr:uid="{00000000-0005-0000-0000-0000DB0B0000}"/>
    <cellStyle name="Accent1 92 2" xfId="3036" xr:uid="{00000000-0005-0000-0000-0000DC0B0000}"/>
    <cellStyle name="Accent1 92 2 2" xfId="3037" xr:uid="{00000000-0005-0000-0000-0000DD0B0000}"/>
    <cellStyle name="Accent1 92 3" xfId="3038" xr:uid="{00000000-0005-0000-0000-0000DE0B0000}"/>
    <cellStyle name="Accent1 93" xfId="3039" xr:uid="{00000000-0005-0000-0000-0000DF0B0000}"/>
    <cellStyle name="Accent1 93 2" xfId="3040" xr:uid="{00000000-0005-0000-0000-0000E00B0000}"/>
    <cellStyle name="Accent1 93 2 2" xfId="3041" xr:uid="{00000000-0005-0000-0000-0000E10B0000}"/>
    <cellStyle name="Accent1 93 3" xfId="3042" xr:uid="{00000000-0005-0000-0000-0000E20B0000}"/>
    <cellStyle name="Accent1 94" xfId="3043" xr:uid="{00000000-0005-0000-0000-0000E30B0000}"/>
    <cellStyle name="Accent1 94 2" xfId="3044" xr:uid="{00000000-0005-0000-0000-0000E40B0000}"/>
    <cellStyle name="Accent1 94 2 2" xfId="3045" xr:uid="{00000000-0005-0000-0000-0000E50B0000}"/>
    <cellStyle name="Accent1 94 3" xfId="3046" xr:uid="{00000000-0005-0000-0000-0000E60B0000}"/>
    <cellStyle name="Accent1 95" xfId="3047" xr:uid="{00000000-0005-0000-0000-0000E70B0000}"/>
    <cellStyle name="Accent1 95 2" xfId="3048" xr:uid="{00000000-0005-0000-0000-0000E80B0000}"/>
    <cellStyle name="Accent1 95 2 2" xfId="3049" xr:uid="{00000000-0005-0000-0000-0000E90B0000}"/>
    <cellStyle name="Accent1 95 3" xfId="3050" xr:uid="{00000000-0005-0000-0000-0000EA0B0000}"/>
    <cellStyle name="Accent1 96" xfId="3051" xr:uid="{00000000-0005-0000-0000-0000EB0B0000}"/>
    <cellStyle name="Accent1 96 2" xfId="3052" xr:uid="{00000000-0005-0000-0000-0000EC0B0000}"/>
    <cellStyle name="Accent1 96 2 2" xfId="3053" xr:uid="{00000000-0005-0000-0000-0000ED0B0000}"/>
    <cellStyle name="Accent1 96 3" xfId="3054" xr:uid="{00000000-0005-0000-0000-0000EE0B0000}"/>
    <cellStyle name="Accent1 97" xfId="3055" xr:uid="{00000000-0005-0000-0000-0000EF0B0000}"/>
    <cellStyle name="Accent1 97 2" xfId="3056" xr:uid="{00000000-0005-0000-0000-0000F00B0000}"/>
    <cellStyle name="Accent1 97 2 2" xfId="3057" xr:uid="{00000000-0005-0000-0000-0000F10B0000}"/>
    <cellStyle name="Accent1 97 3" xfId="3058" xr:uid="{00000000-0005-0000-0000-0000F20B0000}"/>
    <cellStyle name="Accent1 98" xfId="3059" xr:uid="{00000000-0005-0000-0000-0000F30B0000}"/>
    <cellStyle name="Accent1 98 2" xfId="3060" xr:uid="{00000000-0005-0000-0000-0000F40B0000}"/>
    <cellStyle name="Accent1 98 2 2" xfId="3061" xr:uid="{00000000-0005-0000-0000-0000F50B0000}"/>
    <cellStyle name="Accent1 98 3" xfId="3062" xr:uid="{00000000-0005-0000-0000-0000F60B0000}"/>
    <cellStyle name="Accent1 99" xfId="3063" xr:uid="{00000000-0005-0000-0000-0000F70B0000}"/>
    <cellStyle name="Accent1 99 2" xfId="3064" xr:uid="{00000000-0005-0000-0000-0000F80B0000}"/>
    <cellStyle name="Accent1 99 2 2" xfId="3065" xr:uid="{00000000-0005-0000-0000-0000F90B0000}"/>
    <cellStyle name="Accent1 99 3" xfId="3066" xr:uid="{00000000-0005-0000-0000-0000FA0B0000}"/>
    <cellStyle name="Accent2 - 20%" xfId="3067" xr:uid="{00000000-0005-0000-0000-0000FB0B0000}"/>
    <cellStyle name="Accent2 - 20% 10" xfId="3068" xr:uid="{00000000-0005-0000-0000-0000FC0B0000}"/>
    <cellStyle name="Accent2 - 20% 11" xfId="3069" xr:uid="{00000000-0005-0000-0000-0000FD0B0000}"/>
    <cellStyle name="Accent2 - 20% 2" xfId="3070" xr:uid="{00000000-0005-0000-0000-0000FE0B0000}"/>
    <cellStyle name="Accent2 - 20% 2 2" xfId="3071" xr:uid="{00000000-0005-0000-0000-0000FF0B0000}"/>
    <cellStyle name="Accent2 - 20% 2 2 2" xfId="3072" xr:uid="{00000000-0005-0000-0000-0000000C0000}"/>
    <cellStyle name="Accent2 - 20% 2 2 2 2" xfId="3073" xr:uid="{00000000-0005-0000-0000-0000010C0000}"/>
    <cellStyle name="Accent2 - 20% 2 2 3" xfId="3074" xr:uid="{00000000-0005-0000-0000-0000020C0000}"/>
    <cellStyle name="Accent2 - 20% 2 3" xfId="3075" xr:uid="{00000000-0005-0000-0000-0000030C0000}"/>
    <cellStyle name="Accent2 - 20% 2 3 2" xfId="3076" xr:uid="{00000000-0005-0000-0000-0000040C0000}"/>
    <cellStyle name="Accent2 - 20% 2 3 2 2" xfId="3077" xr:uid="{00000000-0005-0000-0000-0000050C0000}"/>
    <cellStyle name="Accent2 - 20% 2 3 2 2 2" xfId="3078" xr:uid="{00000000-0005-0000-0000-0000060C0000}"/>
    <cellStyle name="Accent2 - 20% 2 3 2 3" xfId="3079" xr:uid="{00000000-0005-0000-0000-0000070C0000}"/>
    <cellStyle name="Accent2 - 20% 2 3 3" xfId="3080" xr:uid="{00000000-0005-0000-0000-0000080C0000}"/>
    <cellStyle name="Accent2 - 20% 2 3 3 2" xfId="3081" xr:uid="{00000000-0005-0000-0000-0000090C0000}"/>
    <cellStyle name="Accent2 - 20% 2 3 4" xfId="3082" xr:uid="{00000000-0005-0000-0000-00000A0C0000}"/>
    <cellStyle name="Accent2 - 20% 2 4" xfId="3083" xr:uid="{00000000-0005-0000-0000-00000B0C0000}"/>
    <cellStyle name="Accent2 - 20% 2 4 2" xfId="3084" xr:uid="{00000000-0005-0000-0000-00000C0C0000}"/>
    <cellStyle name="Accent2 - 20% 2 4 2 2" xfId="3085" xr:uid="{00000000-0005-0000-0000-00000D0C0000}"/>
    <cellStyle name="Accent2 - 20% 2 4 2 2 2" xfId="3086" xr:uid="{00000000-0005-0000-0000-00000E0C0000}"/>
    <cellStyle name="Accent2 - 20% 2 4 2 3" xfId="3087" xr:uid="{00000000-0005-0000-0000-00000F0C0000}"/>
    <cellStyle name="Accent2 - 20% 2 4 3" xfId="3088" xr:uid="{00000000-0005-0000-0000-0000100C0000}"/>
    <cellStyle name="Accent2 - 20% 2 4 3 2" xfId="3089" xr:uid="{00000000-0005-0000-0000-0000110C0000}"/>
    <cellStyle name="Accent2 - 20% 2 4 4" xfId="3090" xr:uid="{00000000-0005-0000-0000-0000120C0000}"/>
    <cellStyle name="Accent2 - 20% 2 5" xfId="3091" xr:uid="{00000000-0005-0000-0000-0000130C0000}"/>
    <cellStyle name="Accent2 - 20% 2 5 2" xfId="3092" xr:uid="{00000000-0005-0000-0000-0000140C0000}"/>
    <cellStyle name="Accent2 - 20% 2 6" xfId="3093" xr:uid="{00000000-0005-0000-0000-0000150C0000}"/>
    <cellStyle name="Accent2 - 20% 2 6 2" xfId="3094" xr:uid="{00000000-0005-0000-0000-0000160C0000}"/>
    <cellStyle name="Accent2 - 20% 2 7" xfId="3095" xr:uid="{00000000-0005-0000-0000-0000170C0000}"/>
    <cellStyle name="Accent2 - 20% 3" xfId="3096" xr:uid="{00000000-0005-0000-0000-0000180C0000}"/>
    <cellStyle name="Accent2 - 20% 3 2" xfId="3097" xr:uid="{00000000-0005-0000-0000-0000190C0000}"/>
    <cellStyle name="Accent2 - 20% 3 2 2" xfId="3098" xr:uid="{00000000-0005-0000-0000-00001A0C0000}"/>
    <cellStyle name="Accent2 - 20% 3 2 2 2" xfId="3099" xr:uid="{00000000-0005-0000-0000-00001B0C0000}"/>
    <cellStyle name="Accent2 - 20% 3 2 3" xfId="3100" xr:uid="{00000000-0005-0000-0000-00001C0C0000}"/>
    <cellStyle name="Accent2 - 20% 3 3" xfId="3101" xr:uid="{00000000-0005-0000-0000-00001D0C0000}"/>
    <cellStyle name="Accent2 - 20% 3 3 2" xfId="3102" xr:uid="{00000000-0005-0000-0000-00001E0C0000}"/>
    <cellStyle name="Accent2 - 20% 3 4" xfId="3103" xr:uid="{00000000-0005-0000-0000-00001F0C0000}"/>
    <cellStyle name="Accent2 - 20% 4" xfId="3104" xr:uid="{00000000-0005-0000-0000-0000200C0000}"/>
    <cellStyle name="Accent2 - 20% 4 2" xfId="3105" xr:uid="{00000000-0005-0000-0000-0000210C0000}"/>
    <cellStyle name="Accent2 - 20% 4 2 2" xfId="3106" xr:uid="{00000000-0005-0000-0000-0000220C0000}"/>
    <cellStyle name="Accent2 - 20% 4 3" xfId="3107" xr:uid="{00000000-0005-0000-0000-0000230C0000}"/>
    <cellStyle name="Accent2 - 20% 5" xfId="3108" xr:uid="{00000000-0005-0000-0000-0000240C0000}"/>
    <cellStyle name="Accent2 - 20% 5 2" xfId="3109" xr:uid="{00000000-0005-0000-0000-0000250C0000}"/>
    <cellStyle name="Accent2 - 20% 5 2 2" xfId="3110" xr:uid="{00000000-0005-0000-0000-0000260C0000}"/>
    <cellStyle name="Accent2 - 20% 5 3" xfId="3111" xr:uid="{00000000-0005-0000-0000-0000270C0000}"/>
    <cellStyle name="Accent2 - 20% 6" xfId="3112" xr:uid="{00000000-0005-0000-0000-0000280C0000}"/>
    <cellStyle name="Accent2 - 20% 6 2" xfId="3113" xr:uid="{00000000-0005-0000-0000-0000290C0000}"/>
    <cellStyle name="Accent2 - 20% 7" xfId="3114" xr:uid="{00000000-0005-0000-0000-00002A0C0000}"/>
    <cellStyle name="Accent2 - 20% 7 2" xfId="3115" xr:uid="{00000000-0005-0000-0000-00002B0C0000}"/>
    <cellStyle name="Accent2 - 20% 8" xfId="3116" xr:uid="{00000000-0005-0000-0000-00002C0C0000}"/>
    <cellStyle name="Accent2 - 20% 8 2" xfId="3117" xr:uid="{00000000-0005-0000-0000-00002D0C0000}"/>
    <cellStyle name="Accent2 - 20% 9" xfId="3118" xr:uid="{00000000-0005-0000-0000-00002E0C0000}"/>
    <cellStyle name="Accent2 - 20% 9 2" xfId="3119" xr:uid="{00000000-0005-0000-0000-00002F0C0000}"/>
    <cellStyle name="Accent2 - 40%" xfId="3120" xr:uid="{00000000-0005-0000-0000-0000300C0000}"/>
    <cellStyle name="Accent2 - 40% 10" xfId="3121" xr:uid="{00000000-0005-0000-0000-0000310C0000}"/>
    <cellStyle name="Accent2 - 40% 11" xfId="3122" xr:uid="{00000000-0005-0000-0000-0000320C0000}"/>
    <cellStyle name="Accent2 - 40% 2" xfId="3123" xr:uid="{00000000-0005-0000-0000-0000330C0000}"/>
    <cellStyle name="Accent2 - 40% 2 2" xfId="3124" xr:uid="{00000000-0005-0000-0000-0000340C0000}"/>
    <cellStyle name="Accent2 - 40% 2 2 2" xfId="3125" xr:uid="{00000000-0005-0000-0000-0000350C0000}"/>
    <cellStyle name="Accent2 - 40% 2 2 2 2" xfId="3126" xr:uid="{00000000-0005-0000-0000-0000360C0000}"/>
    <cellStyle name="Accent2 - 40% 2 2 3" xfId="3127" xr:uid="{00000000-0005-0000-0000-0000370C0000}"/>
    <cellStyle name="Accent2 - 40% 2 3" xfId="3128" xr:uid="{00000000-0005-0000-0000-0000380C0000}"/>
    <cellStyle name="Accent2 - 40% 2 3 2" xfId="3129" xr:uid="{00000000-0005-0000-0000-0000390C0000}"/>
    <cellStyle name="Accent2 - 40% 2 3 2 2" xfId="3130" xr:uid="{00000000-0005-0000-0000-00003A0C0000}"/>
    <cellStyle name="Accent2 - 40% 2 3 2 2 2" xfId="3131" xr:uid="{00000000-0005-0000-0000-00003B0C0000}"/>
    <cellStyle name="Accent2 - 40% 2 3 2 3" xfId="3132" xr:uid="{00000000-0005-0000-0000-00003C0C0000}"/>
    <cellStyle name="Accent2 - 40% 2 3 3" xfId="3133" xr:uid="{00000000-0005-0000-0000-00003D0C0000}"/>
    <cellStyle name="Accent2 - 40% 2 3 3 2" xfId="3134" xr:uid="{00000000-0005-0000-0000-00003E0C0000}"/>
    <cellStyle name="Accent2 - 40% 2 3 4" xfId="3135" xr:uid="{00000000-0005-0000-0000-00003F0C0000}"/>
    <cellStyle name="Accent2 - 40% 2 4" xfId="3136" xr:uid="{00000000-0005-0000-0000-0000400C0000}"/>
    <cellStyle name="Accent2 - 40% 2 4 2" xfId="3137" xr:uid="{00000000-0005-0000-0000-0000410C0000}"/>
    <cellStyle name="Accent2 - 40% 2 4 2 2" xfId="3138" xr:uid="{00000000-0005-0000-0000-0000420C0000}"/>
    <cellStyle name="Accent2 - 40% 2 4 2 2 2" xfId="3139" xr:uid="{00000000-0005-0000-0000-0000430C0000}"/>
    <cellStyle name="Accent2 - 40% 2 4 2 3" xfId="3140" xr:uid="{00000000-0005-0000-0000-0000440C0000}"/>
    <cellStyle name="Accent2 - 40% 2 4 3" xfId="3141" xr:uid="{00000000-0005-0000-0000-0000450C0000}"/>
    <cellStyle name="Accent2 - 40% 2 4 3 2" xfId="3142" xr:uid="{00000000-0005-0000-0000-0000460C0000}"/>
    <cellStyle name="Accent2 - 40% 2 4 4" xfId="3143" xr:uid="{00000000-0005-0000-0000-0000470C0000}"/>
    <cellStyle name="Accent2 - 40% 2 5" xfId="3144" xr:uid="{00000000-0005-0000-0000-0000480C0000}"/>
    <cellStyle name="Accent2 - 40% 2 5 2" xfId="3145" xr:uid="{00000000-0005-0000-0000-0000490C0000}"/>
    <cellStyle name="Accent2 - 40% 2 6" xfId="3146" xr:uid="{00000000-0005-0000-0000-00004A0C0000}"/>
    <cellStyle name="Accent2 - 40% 2 6 2" xfId="3147" xr:uid="{00000000-0005-0000-0000-00004B0C0000}"/>
    <cellStyle name="Accent2 - 40% 2 7" xfId="3148" xr:uid="{00000000-0005-0000-0000-00004C0C0000}"/>
    <cellStyle name="Accent2 - 40% 3" xfId="3149" xr:uid="{00000000-0005-0000-0000-00004D0C0000}"/>
    <cellStyle name="Accent2 - 40% 3 2" xfId="3150" xr:uid="{00000000-0005-0000-0000-00004E0C0000}"/>
    <cellStyle name="Accent2 - 40% 3 2 2" xfId="3151" xr:uid="{00000000-0005-0000-0000-00004F0C0000}"/>
    <cellStyle name="Accent2 - 40% 3 2 2 2" xfId="3152" xr:uid="{00000000-0005-0000-0000-0000500C0000}"/>
    <cellStyle name="Accent2 - 40% 3 2 3" xfId="3153" xr:uid="{00000000-0005-0000-0000-0000510C0000}"/>
    <cellStyle name="Accent2 - 40% 3 3" xfId="3154" xr:uid="{00000000-0005-0000-0000-0000520C0000}"/>
    <cellStyle name="Accent2 - 40% 3 3 2" xfId="3155" xr:uid="{00000000-0005-0000-0000-0000530C0000}"/>
    <cellStyle name="Accent2 - 40% 3 4" xfId="3156" xr:uid="{00000000-0005-0000-0000-0000540C0000}"/>
    <cellStyle name="Accent2 - 40% 4" xfId="3157" xr:uid="{00000000-0005-0000-0000-0000550C0000}"/>
    <cellStyle name="Accent2 - 40% 4 2" xfId="3158" xr:uid="{00000000-0005-0000-0000-0000560C0000}"/>
    <cellStyle name="Accent2 - 40% 4 2 2" xfId="3159" xr:uid="{00000000-0005-0000-0000-0000570C0000}"/>
    <cellStyle name="Accent2 - 40% 4 3" xfId="3160" xr:uid="{00000000-0005-0000-0000-0000580C0000}"/>
    <cellStyle name="Accent2 - 40% 5" xfId="3161" xr:uid="{00000000-0005-0000-0000-0000590C0000}"/>
    <cellStyle name="Accent2 - 40% 5 2" xfId="3162" xr:uid="{00000000-0005-0000-0000-00005A0C0000}"/>
    <cellStyle name="Accent2 - 40% 5 2 2" xfId="3163" xr:uid="{00000000-0005-0000-0000-00005B0C0000}"/>
    <cellStyle name="Accent2 - 40% 5 3" xfId="3164" xr:uid="{00000000-0005-0000-0000-00005C0C0000}"/>
    <cellStyle name="Accent2 - 40% 6" xfId="3165" xr:uid="{00000000-0005-0000-0000-00005D0C0000}"/>
    <cellStyle name="Accent2 - 40% 6 2" xfId="3166" xr:uid="{00000000-0005-0000-0000-00005E0C0000}"/>
    <cellStyle name="Accent2 - 40% 7" xfId="3167" xr:uid="{00000000-0005-0000-0000-00005F0C0000}"/>
    <cellStyle name="Accent2 - 40% 7 2" xfId="3168" xr:uid="{00000000-0005-0000-0000-0000600C0000}"/>
    <cellStyle name="Accent2 - 40% 8" xfId="3169" xr:uid="{00000000-0005-0000-0000-0000610C0000}"/>
    <cellStyle name="Accent2 - 40% 8 2" xfId="3170" xr:uid="{00000000-0005-0000-0000-0000620C0000}"/>
    <cellStyle name="Accent2 - 40% 9" xfId="3171" xr:uid="{00000000-0005-0000-0000-0000630C0000}"/>
    <cellStyle name="Accent2 - 40% 9 2" xfId="3172" xr:uid="{00000000-0005-0000-0000-0000640C0000}"/>
    <cellStyle name="Accent2 - 60%" xfId="3173" xr:uid="{00000000-0005-0000-0000-0000650C0000}"/>
    <cellStyle name="Accent2 - 60% 10" xfId="3174" xr:uid="{00000000-0005-0000-0000-0000660C0000}"/>
    <cellStyle name="Accent2 - 60% 2" xfId="3175" xr:uid="{00000000-0005-0000-0000-0000670C0000}"/>
    <cellStyle name="Accent2 - 60% 2 2" xfId="3176" xr:uid="{00000000-0005-0000-0000-0000680C0000}"/>
    <cellStyle name="Accent2 - 60% 2 2 2" xfId="3177" xr:uid="{00000000-0005-0000-0000-0000690C0000}"/>
    <cellStyle name="Accent2 - 60% 2 3" xfId="3178" xr:uid="{00000000-0005-0000-0000-00006A0C0000}"/>
    <cellStyle name="Accent2 - 60% 2 3 2" xfId="3179" xr:uid="{00000000-0005-0000-0000-00006B0C0000}"/>
    <cellStyle name="Accent2 - 60% 2 3 2 2" xfId="3180" xr:uid="{00000000-0005-0000-0000-00006C0C0000}"/>
    <cellStyle name="Accent2 - 60% 2 3 3" xfId="3181" xr:uid="{00000000-0005-0000-0000-00006D0C0000}"/>
    <cellStyle name="Accent2 - 60% 2 4" xfId="3182" xr:uid="{00000000-0005-0000-0000-00006E0C0000}"/>
    <cellStyle name="Accent2 - 60% 2 4 2" xfId="3183" xr:uid="{00000000-0005-0000-0000-00006F0C0000}"/>
    <cellStyle name="Accent2 - 60% 2 4 2 2" xfId="3184" xr:uid="{00000000-0005-0000-0000-0000700C0000}"/>
    <cellStyle name="Accent2 - 60% 2 4 3" xfId="3185" xr:uid="{00000000-0005-0000-0000-0000710C0000}"/>
    <cellStyle name="Accent2 - 60% 2 5" xfId="3186" xr:uid="{00000000-0005-0000-0000-0000720C0000}"/>
    <cellStyle name="Accent2 - 60% 3" xfId="3187" xr:uid="{00000000-0005-0000-0000-0000730C0000}"/>
    <cellStyle name="Accent2 - 60% 3 2" xfId="3188" xr:uid="{00000000-0005-0000-0000-0000740C0000}"/>
    <cellStyle name="Accent2 - 60% 3 2 2" xfId="3189" xr:uid="{00000000-0005-0000-0000-0000750C0000}"/>
    <cellStyle name="Accent2 - 60% 3 3" xfId="3190" xr:uid="{00000000-0005-0000-0000-0000760C0000}"/>
    <cellStyle name="Accent2 - 60% 4" xfId="3191" xr:uid="{00000000-0005-0000-0000-0000770C0000}"/>
    <cellStyle name="Accent2 - 60% 4 2" xfId="3192" xr:uid="{00000000-0005-0000-0000-0000780C0000}"/>
    <cellStyle name="Accent2 - 60% 5" xfId="3193" xr:uid="{00000000-0005-0000-0000-0000790C0000}"/>
    <cellStyle name="Accent2 - 60% 5 2" xfId="3194" xr:uid="{00000000-0005-0000-0000-00007A0C0000}"/>
    <cellStyle name="Accent2 - 60% 6" xfId="3195" xr:uid="{00000000-0005-0000-0000-00007B0C0000}"/>
    <cellStyle name="Accent2 - 60% 6 2" xfId="3196" xr:uid="{00000000-0005-0000-0000-00007C0C0000}"/>
    <cellStyle name="Accent2 - 60% 6 2 2" xfId="3197" xr:uid="{00000000-0005-0000-0000-00007D0C0000}"/>
    <cellStyle name="Accent2 - 60% 6 3" xfId="3198" xr:uid="{00000000-0005-0000-0000-00007E0C0000}"/>
    <cellStyle name="Accent2 - 60% 7" xfId="3199" xr:uid="{00000000-0005-0000-0000-00007F0C0000}"/>
    <cellStyle name="Accent2 - 60% 7 2" xfId="3200" xr:uid="{00000000-0005-0000-0000-0000800C0000}"/>
    <cellStyle name="Accent2 - 60% 8" xfId="3201" xr:uid="{00000000-0005-0000-0000-0000810C0000}"/>
    <cellStyle name="Accent2 - 60% 8 2" xfId="3202" xr:uid="{00000000-0005-0000-0000-0000820C0000}"/>
    <cellStyle name="Accent2 - 60% 9" xfId="3203" xr:uid="{00000000-0005-0000-0000-0000830C0000}"/>
    <cellStyle name="Accent2 10" xfId="3204" xr:uid="{00000000-0005-0000-0000-0000840C0000}"/>
    <cellStyle name="Accent2 10 2" xfId="3205" xr:uid="{00000000-0005-0000-0000-0000850C0000}"/>
    <cellStyle name="Accent2 10 2 2" xfId="3206" xr:uid="{00000000-0005-0000-0000-0000860C0000}"/>
    <cellStyle name="Accent2 10 3" xfId="3207" xr:uid="{00000000-0005-0000-0000-0000870C0000}"/>
    <cellStyle name="Accent2 100" xfId="3208" xr:uid="{00000000-0005-0000-0000-0000880C0000}"/>
    <cellStyle name="Accent2 100 2" xfId="3209" xr:uid="{00000000-0005-0000-0000-0000890C0000}"/>
    <cellStyle name="Accent2 100 2 2" xfId="3210" xr:uid="{00000000-0005-0000-0000-00008A0C0000}"/>
    <cellStyle name="Accent2 100 3" xfId="3211" xr:uid="{00000000-0005-0000-0000-00008B0C0000}"/>
    <cellStyle name="Accent2 101" xfId="3212" xr:uid="{00000000-0005-0000-0000-00008C0C0000}"/>
    <cellStyle name="Accent2 101 2" xfId="3213" xr:uid="{00000000-0005-0000-0000-00008D0C0000}"/>
    <cellStyle name="Accent2 101 2 2" xfId="3214" xr:uid="{00000000-0005-0000-0000-00008E0C0000}"/>
    <cellStyle name="Accent2 101 3" xfId="3215" xr:uid="{00000000-0005-0000-0000-00008F0C0000}"/>
    <cellStyle name="Accent2 102" xfId="3216" xr:uid="{00000000-0005-0000-0000-0000900C0000}"/>
    <cellStyle name="Accent2 102 2" xfId="3217" xr:uid="{00000000-0005-0000-0000-0000910C0000}"/>
    <cellStyle name="Accent2 103" xfId="3218" xr:uid="{00000000-0005-0000-0000-0000920C0000}"/>
    <cellStyle name="Accent2 103 2" xfId="3219" xr:uid="{00000000-0005-0000-0000-0000930C0000}"/>
    <cellStyle name="Accent2 104" xfId="3220" xr:uid="{00000000-0005-0000-0000-0000940C0000}"/>
    <cellStyle name="Accent2 104 2" xfId="3221" xr:uid="{00000000-0005-0000-0000-0000950C0000}"/>
    <cellStyle name="Accent2 104 2 2" xfId="3222" xr:uid="{00000000-0005-0000-0000-0000960C0000}"/>
    <cellStyle name="Accent2 104 3" xfId="3223" xr:uid="{00000000-0005-0000-0000-0000970C0000}"/>
    <cellStyle name="Accent2 105" xfId="3224" xr:uid="{00000000-0005-0000-0000-0000980C0000}"/>
    <cellStyle name="Accent2 105 2" xfId="3225" xr:uid="{00000000-0005-0000-0000-0000990C0000}"/>
    <cellStyle name="Accent2 105 2 2" xfId="3226" xr:uid="{00000000-0005-0000-0000-00009A0C0000}"/>
    <cellStyle name="Accent2 105 3" xfId="3227" xr:uid="{00000000-0005-0000-0000-00009B0C0000}"/>
    <cellStyle name="Accent2 106" xfId="3228" xr:uid="{00000000-0005-0000-0000-00009C0C0000}"/>
    <cellStyle name="Accent2 106 2" xfId="3229" xr:uid="{00000000-0005-0000-0000-00009D0C0000}"/>
    <cellStyle name="Accent2 106 2 2" xfId="3230" xr:uid="{00000000-0005-0000-0000-00009E0C0000}"/>
    <cellStyle name="Accent2 106 3" xfId="3231" xr:uid="{00000000-0005-0000-0000-00009F0C0000}"/>
    <cellStyle name="Accent2 107" xfId="3232" xr:uid="{00000000-0005-0000-0000-0000A00C0000}"/>
    <cellStyle name="Accent2 107 2" xfId="3233" xr:uid="{00000000-0005-0000-0000-0000A10C0000}"/>
    <cellStyle name="Accent2 107 2 2" xfId="3234" xr:uid="{00000000-0005-0000-0000-0000A20C0000}"/>
    <cellStyle name="Accent2 107 3" xfId="3235" xr:uid="{00000000-0005-0000-0000-0000A30C0000}"/>
    <cellStyle name="Accent2 108" xfId="3236" xr:uid="{00000000-0005-0000-0000-0000A40C0000}"/>
    <cellStyle name="Accent2 108 2" xfId="3237" xr:uid="{00000000-0005-0000-0000-0000A50C0000}"/>
    <cellStyle name="Accent2 108 2 2" xfId="3238" xr:uid="{00000000-0005-0000-0000-0000A60C0000}"/>
    <cellStyle name="Accent2 108 3" xfId="3239" xr:uid="{00000000-0005-0000-0000-0000A70C0000}"/>
    <cellStyle name="Accent2 109" xfId="3240" xr:uid="{00000000-0005-0000-0000-0000A80C0000}"/>
    <cellStyle name="Accent2 109 2" xfId="3241" xr:uid="{00000000-0005-0000-0000-0000A90C0000}"/>
    <cellStyle name="Accent2 109 2 2" xfId="3242" xr:uid="{00000000-0005-0000-0000-0000AA0C0000}"/>
    <cellStyle name="Accent2 109 3" xfId="3243" xr:uid="{00000000-0005-0000-0000-0000AB0C0000}"/>
    <cellStyle name="Accent2 11" xfId="3244" xr:uid="{00000000-0005-0000-0000-0000AC0C0000}"/>
    <cellStyle name="Accent2 11 2" xfId="3245" xr:uid="{00000000-0005-0000-0000-0000AD0C0000}"/>
    <cellStyle name="Accent2 11 2 2" xfId="3246" xr:uid="{00000000-0005-0000-0000-0000AE0C0000}"/>
    <cellStyle name="Accent2 11 3" xfId="3247" xr:uid="{00000000-0005-0000-0000-0000AF0C0000}"/>
    <cellStyle name="Accent2 110" xfId="3248" xr:uid="{00000000-0005-0000-0000-0000B00C0000}"/>
    <cellStyle name="Accent2 110 2" xfId="3249" xr:uid="{00000000-0005-0000-0000-0000B10C0000}"/>
    <cellStyle name="Accent2 110 2 2" xfId="3250" xr:uid="{00000000-0005-0000-0000-0000B20C0000}"/>
    <cellStyle name="Accent2 110 3" xfId="3251" xr:uid="{00000000-0005-0000-0000-0000B30C0000}"/>
    <cellStyle name="Accent2 111" xfId="3252" xr:uid="{00000000-0005-0000-0000-0000B40C0000}"/>
    <cellStyle name="Accent2 111 2" xfId="3253" xr:uid="{00000000-0005-0000-0000-0000B50C0000}"/>
    <cellStyle name="Accent2 111 2 2" xfId="3254" xr:uid="{00000000-0005-0000-0000-0000B60C0000}"/>
    <cellStyle name="Accent2 111 3" xfId="3255" xr:uid="{00000000-0005-0000-0000-0000B70C0000}"/>
    <cellStyle name="Accent2 112" xfId="3256" xr:uid="{00000000-0005-0000-0000-0000B80C0000}"/>
    <cellStyle name="Accent2 112 2" xfId="3257" xr:uid="{00000000-0005-0000-0000-0000B90C0000}"/>
    <cellStyle name="Accent2 112 2 2" xfId="3258" xr:uid="{00000000-0005-0000-0000-0000BA0C0000}"/>
    <cellStyle name="Accent2 112 3" xfId="3259" xr:uid="{00000000-0005-0000-0000-0000BB0C0000}"/>
    <cellStyle name="Accent2 113" xfId="3260" xr:uid="{00000000-0005-0000-0000-0000BC0C0000}"/>
    <cellStyle name="Accent2 113 2" xfId="3261" xr:uid="{00000000-0005-0000-0000-0000BD0C0000}"/>
    <cellStyle name="Accent2 113 2 2" xfId="3262" xr:uid="{00000000-0005-0000-0000-0000BE0C0000}"/>
    <cellStyle name="Accent2 113 3" xfId="3263" xr:uid="{00000000-0005-0000-0000-0000BF0C0000}"/>
    <cellStyle name="Accent2 114" xfId="3264" xr:uid="{00000000-0005-0000-0000-0000C00C0000}"/>
    <cellStyle name="Accent2 114 2" xfId="3265" xr:uid="{00000000-0005-0000-0000-0000C10C0000}"/>
    <cellStyle name="Accent2 115" xfId="3266" xr:uid="{00000000-0005-0000-0000-0000C20C0000}"/>
    <cellStyle name="Accent2 115 2" xfId="3267" xr:uid="{00000000-0005-0000-0000-0000C30C0000}"/>
    <cellStyle name="Accent2 116" xfId="3268" xr:uid="{00000000-0005-0000-0000-0000C40C0000}"/>
    <cellStyle name="Accent2 116 2" xfId="3269" xr:uid="{00000000-0005-0000-0000-0000C50C0000}"/>
    <cellStyle name="Accent2 117" xfId="3270" xr:uid="{00000000-0005-0000-0000-0000C60C0000}"/>
    <cellStyle name="Accent2 117 2" xfId="3271" xr:uid="{00000000-0005-0000-0000-0000C70C0000}"/>
    <cellStyle name="Accent2 118" xfId="3272" xr:uid="{00000000-0005-0000-0000-0000C80C0000}"/>
    <cellStyle name="Accent2 118 2" xfId="3273" xr:uid="{00000000-0005-0000-0000-0000C90C0000}"/>
    <cellStyle name="Accent2 119" xfId="3274" xr:uid="{00000000-0005-0000-0000-0000CA0C0000}"/>
    <cellStyle name="Accent2 119 2" xfId="3275" xr:uid="{00000000-0005-0000-0000-0000CB0C0000}"/>
    <cellStyle name="Accent2 12" xfId="3276" xr:uid="{00000000-0005-0000-0000-0000CC0C0000}"/>
    <cellStyle name="Accent2 12 2" xfId="3277" xr:uid="{00000000-0005-0000-0000-0000CD0C0000}"/>
    <cellStyle name="Accent2 12 2 2" xfId="3278" xr:uid="{00000000-0005-0000-0000-0000CE0C0000}"/>
    <cellStyle name="Accent2 12 3" xfId="3279" xr:uid="{00000000-0005-0000-0000-0000CF0C0000}"/>
    <cellStyle name="Accent2 120" xfId="3280" xr:uid="{00000000-0005-0000-0000-0000D00C0000}"/>
    <cellStyle name="Accent2 120 2" xfId="3281" xr:uid="{00000000-0005-0000-0000-0000D10C0000}"/>
    <cellStyle name="Accent2 121" xfId="3282" xr:uid="{00000000-0005-0000-0000-0000D20C0000}"/>
    <cellStyle name="Accent2 121 2" xfId="3283" xr:uid="{00000000-0005-0000-0000-0000D30C0000}"/>
    <cellStyle name="Accent2 122" xfId="3284" xr:uid="{00000000-0005-0000-0000-0000D40C0000}"/>
    <cellStyle name="Accent2 122 2" xfId="3285" xr:uid="{00000000-0005-0000-0000-0000D50C0000}"/>
    <cellStyle name="Accent2 123" xfId="3286" xr:uid="{00000000-0005-0000-0000-0000D60C0000}"/>
    <cellStyle name="Accent2 123 2" xfId="3287" xr:uid="{00000000-0005-0000-0000-0000D70C0000}"/>
    <cellStyle name="Accent2 124" xfId="3288" xr:uid="{00000000-0005-0000-0000-0000D80C0000}"/>
    <cellStyle name="Accent2 124 2" xfId="3289" xr:uid="{00000000-0005-0000-0000-0000D90C0000}"/>
    <cellStyle name="Accent2 125" xfId="3290" xr:uid="{00000000-0005-0000-0000-0000DA0C0000}"/>
    <cellStyle name="Accent2 125 2" xfId="3291" xr:uid="{00000000-0005-0000-0000-0000DB0C0000}"/>
    <cellStyle name="Accent2 126" xfId="3292" xr:uid="{00000000-0005-0000-0000-0000DC0C0000}"/>
    <cellStyle name="Accent2 127" xfId="3293" xr:uid="{00000000-0005-0000-0000-0000DD0C0000}"/>
    <cellStyle name="Accent2 128" xfId="3294" xr:uid="{00000000-0005-0000-0000-0000DE0C0000}"/>
    <cellStyle name="Accent2 129" xfId="3295" xr:uid="{00000000-0005-0000-0000-0000DF0C0000}"/>
    <cellStyle name="Accent2 13" xfId="3296" xr:uid="{00000000-0005-0000-0000-0000E00C0000}"/>
    <cellStyle name="Accent2 13 2" xfId="3297" xr:uid="{00000000-0005-0000-0000-0000E10C0000}"/>
    <cellStyle name="Accent2 13 2 2" xfId="3298" xr:uid="{00000000-0005-0000-0000-0000E20C0000}"/>
    <cellStyle name="Accent2 13 3" xfId="3299" xr:uid="{00000000-0005-0000-0000-0000E30C0000}"/>
    <cellStyle name="Accent2 130" xfId="3300" xr:uid="{00000000-0005-0000-0000-0000E40C0000}"/>
    <cellStyle name="Accent2 131" xfId="3301" xr:uid="{00000000-0005-0000-0000-0000E50C0000}"/>
    <cellStyle name="Accent2 132" xfId="3302" xr:uid="{00000000-0005-0000-0000-0000E60C0000}"/>
    <cellStyle name="Accent2 133" xfId="3303" xr:uid="{00000000-0005-0000-0000-0000E70C0000}"/>
    <cellStyle name="Accent2 134" xfId="3304" xr:uid="{00000000-0005-0000-0000-0000E80C0000}"/>
    <cellStyle name="Accent2 135" xfId="3305" xr:uid="{00000000-0005-0000-0000-0000E90C0000}"/>
    <cellStyle name="Accent2 136" xfId="3306" xr:uid="{00000000-0005-0000-0000-0000EA0C0000}"/>
    <cellStyle name="Accent2 137" xfId="3307" xr:uid="{00000000-0005-0000-0000-0000EB0C0000}"/>
    <cellStyle name="Accent2 138" xfId="3308" xr:uid="{00000000-0005-0000-0000-0000EC0C0000}"/>
    <cellStyle name="Accent2 139" xfId="3309" xr:uid="{00000000-0005-0000-0000-0000ED0C0000}"/>
    <cellStyle name="Accent2 14" xfId="3310" xr:uid="{00000000-0005-0000-0000-0000EE0C0000}"/>
    <cellStyle name="Accent2 14 2" xfId="3311" xr:uid="{00000000-0005-0000-0000-0000EF0C0000}"/>
    <cellStyle name="Accent2 14 2 2" xfId="3312" xr:uid="{00000000-0005-0000-0000-0000F00C0000}"/>
    <cellStyle name="Accent2 14 3" xfId="3313" xr:uid="{00000000-0005-0000-0000-0000F10C0000}"/>
    <cellStyle name="Accent2 140" xfId="3314" xr:uid="{00000000-0005-0000-0000-0000F20C0000}"/>
    <cellStyle name="Accent2 141" xfId="3315" xr:uid="{00000000-0005-0000-0000-0000F30C0000}"/>
    <cellStyle name="Accent2 142" xfId="3316" xr:uid="{00000000-0005-0000-0000-0000F40C0000}"/>
    <cellStyle name="Accent2 143" xfId="3317" xr:uid="{00000000-0005-0000-0000-0000F50C0000}"/>
    <cellStyle name="Accent2 144" xfId="3318" xr:uid="{00000000-0005-0000-0000-0000F60C0000}"/>
    <cellStyle name="Accent2 145" xfId="3319" xr:uid="{00000000-0005-0000-0000-0000F70C0000}"/>
    <cellStyle name="Accent2 146" xfId="3320" xr:uid="{00000000-0005-0000-0000-0000F80C0000}"/>
    <cellStyle name="Accent2 147" xfId="3321" xr:uid="{00000000-0005-0000-0000-0000F90C0000}"/>
    <cellStyle name="Accent2 148" xfId="3322" xr:uid="{00000000-0005-0000-0000-0000FA0C0000}"/>
    <cellStyle name="Accent2 149" xfId="3323" xr:uid="{00000000-0005-0000-0000-0000FB0C0000}"/>
    <cellStyle name="Accent2 15" xfId="3324" xr:uid="{00000000-0005-0000-0000-0000FC0C0000}"/>
    <cellStyle name="Accent2 15 2" xfId="3325" xr:uid="{00000000-0005-0000-0000-0000FD0C0000}"/>
    <cellStyle name="Accent2 15 2 2" xfId="3326" xr:uid="{00000000-0005-0000-0000-0000FE0C0000}"/>
    <cellStyle name="Accent2 15 3" xfId="3327" xr:uid="{00000000-0005-0000-0000-0000FF0C0000}"/>
    <cellStyle name="Accent2 150" xfId="3328" xr:uid="{00000000-0005-0000-0000-0000000D0000}"/>
    <cellStyle name="Accent2 151" xfId="3329" xr:uid="{00000000-0005-0000-0000-0000010D0000}"/>
    <cellStyle name="Accent2 152" xfId="3330" xr:uid="{00000000-0005-0000-0000-0000020D0000}"/>
    <cellStyle name="Accent2 153" xfId="3331" xr:uid="{00000000-0005-0000-0000-0000030D0000}"/>
    <cellStyle name="Accent2 154" xfId="3332" xr:uid="{00000000-0005-0000-0000-0000040D0000}"/>
    <cellStyle name="Accent2 155" xfId="3333" xr:uid="{00000000-0005-0000-0000-0000050D0000}"/>
    <cellStyle name="Accent2 156" xfId="3334" xr:uid="{00000000-0005-0000-0000-0000060D0000}"/>
    <cellStyle name="Accent2 157" xfId="3335" xr:uid="{00000000-0005-0000-0000-0000070D0000}"/>
    <cellStyle name="Accent2 158" xfId="3336" xr:uid="{00000000-0005-0000-0000-0000080D0000}"/>
    <cellStyle name="Accent2 159" xfId="3337" xr:uid="{00000000-0005-0000-0000-0000090D0000}"/>
    <cellStyle name="Accent2 16" xfId="3338" xr:uid="{00000000-0005-0000-0000-00000A0D0000}"/>
    <cellStyle name="Accent2 16 2" xfId="3339" xr:uid="{00000000-0005-0000-0000-00000B0D0000}"/>
    <cellStyle name="Accent2 16 2 2" xfId="3340" xr:uid="{00000000-0005-0000-0000-00000C0D0000}"/>
    <cellStyle name="Accent2 16 3" xfId="3341" xr:uid="{00000000-0005-0000-0000-00000D0D0000}"/>
    <cellStyle name="Accent2 160" xfId="3342" xr:uid="{00000000-0005-0000-0000-00000E0D0000}"/>
    <cellStyle name="Accent2 161" xfId="3343" xr:uid="{00000000-0005-0000-0000-00000F0D0000}"/>
    <cellStyle name="Accent2 162" xfId="3344" xr:uid="{00000000-0005-0000-0000-0000100D0000}"/>
    <cellStyle name="Accent2 163" xfId="3345" xr:uid="{00000000-0005-0000-0000-0000110D0000}"/>
    <cellStyle name="Accent2 164" xfId="3346" xr:uid="{00000000-0005-0000-0000-0000120D0000}"/>
    <cellStyle name="Accent2 165" xfId="3347" xr:uid="{00000000-0005-0000-0000-0000130D0000}"/>
    <cellStyle name="Accent2 166" xfId="3348" xr:uid="{00000000-0005-0000-0000-0000140D0000}"/>
    <cellStyle name="Accent2 167" xfId="3349" xr:uid="{00000000-0005-0000-0000-0000150D0000}"/>
    <cellStyle name="Accent2 168" xfId="3350" xr:uid="{00000000-0005-0000-0000-0000160D0000}"/>
    <cellStyle name="Accent2 169" xfId="3351" xr:uid="{00000000-0005-0000-0000-0000170D0000}"/>
    <cellStyle name="Accent2 17" xfId="3352" xr:uid="{00000000-0005-0000-0000-0000180D0000}"/>
    <cellStyle name="Accent2 17 2" xfId="3353" xr:uid="{00000000-0005-0000-0000-0000190D0000}"/>
    <cellStyle name="Accent2 17 2 2" xfId="3354" xr:uid="{00000000-0005-0000-0000-00001A0D0000}"/>
    <cellStyle name="Accent2 17 3" xfId="3355" xr:uid="{00000000-0005-0000-0000-00001B0D0000}"/>
    <cellStyle name="Accent2 170" xfId="3356" xr:uid="{00000000-0005-0000-0000-00001C0D0000}"/>
    <cellStyle name="Accent2 171" xfId="3357" xr:uid="{00000000-0005-0000-0000-00001D0D0000}"/>
    <cellStyle name="Accent2 172" xfId="3358" xr:uid="{00000000-0005-0000-0000-00001E0D0000}"/>
    <cellStyle name="Accent2 173" xfId="3359" xr:uid="{00000000-0005-0000-0000-00001F0D0000}"/>
    <cellStyle name="Accent2 174" xfId="3360" xr:uid="{00000000-0005-0000-0000-0000200D0000}"/>
    <cellStyle name="Accent2 175" xfId="3361" xr:uid="{00000000-0005-0000-0000-0000210D0000}"/>
    <cellStyle name="Accent2 176" xfId="3362" xr:uid="{00000000-0005-0000-0000-0000220D0000}"/>
    <cellStyle name="Accent2 177" xfId="3363" xr:uid="{00000000-0005-0000-0000-0000230D0000}"/>
    <cellStyle name="Accent2 178" xfId="3364" xr:uid="{00000000-0005-0000-0000-0000240D0000}"/>
    <cellStyle name="Accent2 179" xfId="3365" xr:uid="{00000000-0005-0000-0000-0000250D0000}"/>
    <cellStyle name="Accent2 18" xfId="3366" xr:uid="{00000000-0005-0000-0000-0000260D0000}"/>
    <cellStyle name="Accent2 18 2" xfId="3367" xr:uid="{00000000-0005-0000-0000-0000270D0000}"/>
    <cellStyle name="Accent2 18 2 2" xfId="3368" xr:uid="{00000000-0005-0000-0000-0000280D0000}"/>
    <cellStyle name="Accent2 18 3" xfId="3369" xr:uid="{00000000-0005-0000-0000-0000290D0000}"/>
    <cellStyle name="Accent2 19" xfId="3370" xr:uid="{00000000-0005-0000-0000-00002A0D0000}"/>
    <cellStyle name="Accent2 19 2" xfId="3371" xr:uid="{00000000-0005-0000-0000-00002B0D0000}"/>
    <cellStyle name="Accent2 19 2 2" xfId="3372" xr:uid="{00000000-0005-0000-0000-00002C0D0000}"/>
    <cellStyle name="Accent2 19 3" xfId="3373" xr:uid="{00000000-0005-0000-0000-00002D0D0000}"/>
    <cellStyle name="Accent2 2" xfId="3374" xr:uid="{00000000-0005-0000-0000-00002E0D0000}"/>
    <cellStyle name="Accent2 2 10" xfId="3375" xr:uid="{00000000-0005-0000-0000-00002F0D0000}"/>
    <cellStyle name="Accent2 2 10 2" xfId="3376" xr:uid="{00000000-0005-0000-0000-0000300D0000}"/>
    <cellStyle name="Accent2 2 11" xfId="3377" xr:uid="{00000000-0005-0000-0000-0000310D0000}"/>
    <cellStyle name="Accent2 2 12" xfId="3378" xr:uid="{00000000-0005-0000-0000-0000320D0000}"/>
    <cellStyle name="Accent2 2 2" xfId="3379" xr:uid="{00000000-0005-0000-0000-0000330D0000}"/>
    <cellStyle name="Accent2 2 2 2" xfId="3380" xr:uid="{00000000-0005-0000-0000-0000340D0000}"/>
    <cellStyle name="Accent2 2 2 2 2" xfId="3381" xr:uid="{00000000-0005-0000-0000-0000350D0000}"/>
    <cellStyle name="Accent2 2 2 3" xfId="3382" xr:uid="{00000000-0005-0000-0000-0000360D0000}"/>
    <cellStyle name="Accent2 2 2 3 2" xfId="3383" xr:uid="{00000000-0005-0000-0000-0000370D0000}"/>
    <cellStyle name="Accent2 2 2 3 2 2" xfId="3384" xr:uid="{00000000-0005-0000-0000-0000380D0000}"/>
    <cellStyle name="Accent2 2 2 3 3" xfId="3385" xr:uid="{00000000-0005-0000-0000-0000390D0000}"/>
    <cellStyle name="Accent2 2 2 4" xfId="3386" xr:uid="{00000000-0005-0000-0000-00003A0D0000}"/>
    <cellStyle name="Accent2 2 3" xfId="3387" xr:uid="{00000000-0005-0000-0000-00003B0D0000}"/>
    <cellStyle name="Accent2 2 3 2" xfId="3388" xr:uid="{00000000-0005-0000-0000-00003C0D0000}"/>
    <cellStyle name="Accent2 2 3 2 2" xfId="3389" xr:uid="{00000000-0005-0000-0000-00003D0D0000}"/>
    <cellStyle name="Accent2 2 3 3" xfId="3390" xr:uid="{00000000-0005-0000-0000-00003E0D0000}"/>
    <cellStyle name="Accent2 2 3 3 2" xfId="3391" xr:uid="{00000000-0005-0000-0000-00003F0D0000}"/>
    <cellStyle name="Accent2 2 3 3 2 2" xfId="3392" xr:uid="{00000000-0005-0000-0000-0000400D0000}"/>
    <cellStyle name="Accent2 2 3 3 3" xfId="3393" xr:uid="{00000000-0005-0000-0000-0000410D0000}"/>
    <cellStyle name="Accent2 2 3 4" xfId="3394" xr:uid="{00000000-0005-0000-0000-0000420D0000}"/>
    <cellStyle name="Accent2 2 4" xfId="3395" xr:uid="{00000000-0005-0000-0000-0000430D0000}"/>
    <cellStyle name="Accent2 2 4 2" xfId="3396" xr:uid="{00000000-0005-0000-0000-0000440D0000}"/>
    <cellStyle name="Accent2 2 4 2 2" xfId="3397" xr:uid="{00000000-0005-0000-0000-0000450D0000}"/>
    <cellStyle name="Accent2 2 4 3" xfId="3398" xr:uid="{00000000-0005-0000-0000-0000460D0000}"/>
    <cellStyle name="Accent2 2 5" xfId="3399" xr:uid="{00000000-0005-0000-0000-0000470D0000}"/>
    <cellStyle name="Accent2 2 5 2" xfId="3400" xr:uid="{00000000-0005-0000-0000-0000480D0000}"/>
    <cellStyle name="Accent2 2 5 2 2" xfId="3401" xr:uid="{00000000-0005-0000-0000-0000490D0000}"/>
    <cellStyle name="Accent2 2 5 3" xfId="3402" xr:uid="{00000000-0005-0000-0000-00004A0D0000}"/>
    <cellStyle name="Accent2 2 5 3 2" xfId="3403" xr:uid="{00000000-0005-0000-0000-00004B0D0000}"/>
    <cellStyle name="Accent2 2 5 3 2 2" xfId="3404" xr:uid="{00000000-0005-0000-0000-00004C0D0000}"/>
    <cellStyle name="Accent2 2 5 3 3" xfId="3405" xr:uid="{00000000-0005-0000-0000-00004D0D0000}"/>
    <cellStyle name="Accent2 2 5 4" xfId="3406" xr:uid="{00000000-0005-0000-0000-00004E0D0000}"/>
    <cellStyle name="Accent2 2 6" xfId="3407" xr:uid="{00000000-0005-0000-0000-00004F0D0000}"/>
    <cellStyle name="Accent2 2 6 2" xfId="3408" xr:uid="{00000000-0005-0000-0000-0000500D0000}"/>
    <cellStyle name="Accent2 2 7" xfId="3409" xr:uid="{00000000-0005-0000-0000-0000510D0000}"/>
    <cellStyle name="Accent2 2 7 2" xfId="3410" xr:uid="{00000000-0005-0000-0000-0000520D0000}"/>
    <cellStyle name="Accent2 2 8" xfId="3411" xr:uid="{00000000-0005-0000-0000-0000530D0000}"/>
    <cellStyle name="Accent2 2 8 2" xfId="3412" xr:uid="{00000000-0005-0000-0000-0000540D0000}"/>
    <cellStyle name="Accent2 2 8 2 2" xfId="3413" xr:uid="{00000000-0005-0000-0000-0000550D0000}"/>
    <cellStyle name="Accent2 2 8 3" xfId="3414" xr:uid="{00000000-0005-0000-0000-0000560D0000}"/>
    <cellStyle name="Accent2 2 9" xfId="3415" xr:uid="{00000000-0005-0000-0000-0000570D0000}"/>
    <cellStyle name="Accent2 2 9 2" xfId="3416" xr:uid="{00000000-0005-0000-0000-0000580D0000}"/>
    <cellStyle name="Accent2 2 9 2 2" xfId="3417" xr:uid="{00000000-0005-0000-0000-0000590D0000}"/>
    <cellStyle name="Accent2 2 9 3" xfId="3418" xr:uid="{00000000-0005-0000-0000-00005A0D0000}"/>
    <cellStyle name="Accent2 20" xfId="3419" xr:uid="{00000000-0005-0000-0000-00005B0D0000}"/>
    <cellStyle name="Accent2 20 2" xfId="3420" xr:uid="{00000000-0005-0000-0000-00005C0D0000}"/>
    <cellStyle name="Accent2 20 2 2" xfId="3421" xr:uid="{00000000-0005-0000-0000-00005D0D0000}"/>
    <cellStyle name="Accent2 20 3" xfId="3422" xr:uid="{00000000-0005-0000-0000-00005E0D0000}"/>
    <cellStyle name="Accent2 21" xfId="3423" xr:uid="{00000000-0005-0000-0000-00005F0D0000}"/>
    <cellStyle name="Accent2 21 2" xfId="3424" xr:uid="{00000000-0005-0000-0000-0000600D0000}"/>
    <cellStyle name="Accent2 21 2 2" xfId="3425" xr:uid="{00000000-0005-0000-0000-0000610D0000}"/>
    <cellStyle name="Accent2 21 3" xfId="3426" xr:uid="{00000000-0005-0000-0000-0000620D0000}"/>
    <cellStyle name="Accent2 22" xfId="3427" xr:uid="{00000000-0005-0000-0000-0000630D0000}"/>
    <cellStyle name="Accent2 22 2" xfId="3428" xr:uid="{00000000-0005-0000-0000-0000640D0000}"/>
    <cellStyle name="Accent2 22 2 2" xfId="3429" xr:uid="{00000000-0005-0000-0000-0000650D0000}"/>
    <cellStyle name="Accent2 22 3" xfId="3430" xr:uid="{00000000-0005-0000-0000-0000660D0000}"/>
    <cellStyle name="Accent2 23" xfId="3431" xr:uid="{00000000-0005-0000-0000-0000670D0000}"/>
    <cellStyle name="Accent2 23 2" xfId="3432" xr:uid="{00000000-0005-0000-0000-0000680D0000}"/>
    <cellStyle name="Accent2 23 2 2" xfId="3433" xr:uid="{00000000-0005-0000-0000-0000690D0000}"/>
    <cellStyle name="Accent2 23 3" xfId="3434" xr:uid="{00000000-0005-0000-0000-00006A0D0000}"/>
    <cellStyle name="Accent2 24" xfId="3435" xr:uid="{00000000-0005-0000-0000-00006B0D0000}"/>
    <cellStyle name="Accent2 24 2" xfId="3436" xr:uid="{00000000-0005-0000-0000-00006C0D0000}"/>
    <cellStyle name="Accent2 24 2 2" xfId="3437" xr:uid="{00000000-0005-0000-0000-00006D0D0000}"/>
    <cellStyle name="Accent2 24 3" xfId="3438" xr:uid="{00000000-0005-0000-0000-00006E0D0000}"/>
    <cellStyle name="Accent2 25" xfId="3439" xr:uid="{00000000-0005-0000-0000-00006F0D0000}"/>
    <cellStyle name="Accent2 25 2" xfId="3440" xr:uid="{00000000-0005-0000-0000-0000700D0000}"/>
    <cellStyle name="Accent2 25 2 2" xfId="3441" xr:uid="{00000000-0005-0000-0000-0000710D0000}"/>
    <cellStyle name="Accent2 25 3" xfId="3442" xr:uid="{00000000-0005-0000-0000-0000720D0000}"/>
    <cellStyle name="Accent2 26" xfId="3443" xr:uid="{00000000-0005-0000-0000-0000730D0000}"/>
    <cellStyle name="Accent2 26 2" xfId="3444" xr:uid="{00000000-0005-0000-0000-0000740D0000}"/>
    <cellStyle name="Accent2 26 2 2" xfId="3445" xr:uid="{00000000-0005-0000-0000-0000750D0000}"/>
    <cellStyle name="Accent2 26 3" xfId="3446" xr:uid="{00000000-0005-0000-0000-0000760D0000}"/>
    <cellStyle name="Accent2 27" xfId="3447" xr:uid="{00000000-0005-0000-0000-0000770D0000}"/>
    <cellStyle name="Accent2 27 2" xfId="3448" xr:uid="{00000000-0005-0000-0000-0000780D0000}"/>
    <cellStyle name="Accent2 27 2 2" xfId="3449" xr:uid="{00000000-0005-0000-0000-0000790D0000}"/>
    <cellStyle name="Accent2 27 3" xfId="3450" xr:uid="{00000000-0005-0000-0000-00007A0D0000}"/>
    <cellStyle name="Accent2 28" xfId="3451" xr:uid="{00000000-0005-0000-0000-00007B0D0000}"/>
    <cellStyle name="Accent2 28 2" xfId="3452" xr:uid="{00000000-0005-0000-0000-00007C0D0000}"/>
    <cellStyle name="Accent2 28 2 2" xfId="3453" xr:uid="{00000000-0005-0000-0000-00007D0D0000}"/>
    <cellStyle name="Accent2 28 3" xfId="3454" xr:uid="{00000000-0005-0000-0000-00007E0D0000}"/>
    <cellStyle name="Accent2 29" xfId="3455" xr:uid="{00000000-0005-0000-0000-00007F0D0000}"/>
    <cellStyle name="Accent2 29 2" xfId="3456" xr:uid="{00000000-0005-0000-0000-0000800D0000}"/>
    <cellStyle name="Accent2 29 2 2" xfId="3457" xr:uid="{00000000-0005-0000-0000-0000810D0000}"/>
    <cellStyle name="Accent2 29 3" xfId="3458" xr:uid="{00000000-0005-0000-0000-0000820D0000}"/>
    <cellStyle name="Accent2 3" xfId="3459" xr:uid="{00000000-0005-0000-0000-0000830D0000}"/>
    <cellStyle name="Accent2 3 10" xfId="3460" xr:uid="{00000000-0005-0000-0000-0000840D0000}"/>
    <cellStyle name="Accent2 3 10 2" xfId="3461" xr:uid="{00000000-0005-0000-0000-0000850D0000}"/>
    <cellStyle name="Accent2 3 11" xfId="3462" xr:uid="{00000000-0005-0000-0000-0000860D0000}"/>
    <cellStyle name="Accent2 3 2" xfId="3463" xr:uid="{00000000-0005-0000-0000-0000870D0000}"/>
    <cellStyle name="Accent2 3 2 2" xfId="3464" xr:uid="{00000000-0005-0000-0000-0000880D0000}"/>
    <cellStyle name="Accent2 3 2 2 2" xfId="3465" xr:uid="{00000000-0005-0000-0000-0000890D0000}"/>
    <cellStyle name="Accent2 3 2 3" xfId="3466" xr:uid="{00000000-0005-0000-0000-00008A0D0000}"/>
    <cellStyle name="Accent2 3 2 3 2" xfId="3467" xr:uid="{00000000-0005-0000-0000-00008B0D0000}"/>
    <cellStyle name="Accent2 3 2 3 2 2" xfId="3468" xr:uid="{00000000-0005-0000-0000-00008C0D0000}"/>
    <cellStyle name="Accent2 3 2 3 3" xfId="3469" xr:uid="{00000000-0005-0000-0000-00008D0D0000}"/>
    <cellStyle name="Accent2 3 2 4" xfId="3470" xr:uid="{00000000-0005-0000-0000-00008E0D0000}"/>
    <cellStyle name="Accent2 3 3" xfId="3471" xr:uid="{00000000-0005-0000-0000-00008F0D0000}"/>
    <cellStyle name="Accent2 3 3 2" xfId="3472" xr:uid="{00000000-0005-0000-0000-0000900D0000}"/>
    <cellStyle name="Accent2 3 3 2 2" xfId="3473" xr:uid="{00000000-0005-0000-0000-0000910D0000}"/>
    <cellStyle name="Accent2 3 3 3" xfId="3474" xr:uid="{00000000-0005-0000-0000-0000920D0000}"/>
    <cellStyle name="Accent2 3 3 3 2" xfId="3475" xr:uid="{00000000-0005-0000-0000-0000930D0000}"/>
    <cellStyle name="Accent2 3 3 3 2 2" xfId="3476" xr:uid="{00000000-0005-0000-0000-0000940D0000}"/>
    <cellStyle name="Accent2 3 3 3 3" xfId="3477" xr:uid="{00000000-0005-0000-0000-0000950D0000}"/>
    <cellStyle name="Accent2 3 3 4" xfId="3478" xr:uid="{00000000-0005-0000-0000-0000960D0000}"/>
    <cellStyle name="Accent2 3 4" xfId="3479" xr:uid="{00000000-0005-0000-0000-0000970D0000}"/>
    <cellStyle name="Accent2 3 4 2" xfId="3480" xr:uid="{00000000-0005-0000-0000-0000980D0000}"/>
    <cellStyle name="Accent2 3 4 2 2" xfId="3481" xr:uid="{00000000-0005-0000-0000-0000990D0000}"/>
    <cellStyle name="Accent2 3 4 3" xfId="3482" xr:uid="{00000000-0005-0000-0000-00009A0D0000}"/>
    <cellStyle name="Accent2 3 5" xfId="3483" xr:uid="{00000000-0005-0000-0000-00009B0D0000}"/>
    <cellStyle name="Accent2 3 5 2" xfId="3484" xr:uid="{00000000-0005-0000-0000-00009C0D0000}"/>
    <cellStyle name="Accent2 3 5 2 2" xfId="3485" xr:uid="{00000000-0005-0000-0000-00009D0D0000}"/>
    <cellStyle name="Accent2 3 5 3" xfId="3486" xr:uid="{00000000-0005-0000-0000-00009E0D0000}"/>
    <cellStyle name="Accent2 3 5 3 2" xfId="3487" xr:uid="{00000000-0005-0000-0000-00009F0D0000}"/>
    <cellStyle name="Accent2 3 5 3 2 2" xfId="3488" xr:uid="{00000000-0005-0000-0000-0000A00D0000}"/>
    <cellStyle name="Accent2 3 5 3 3" xfId="3489" xr:uid="{00000000-0005-0000-0000-0000A10D0000}"/>
    <cellStyle name="Accent2 3 5 4" xfId="3490" xr:uid="{00000000-0005-0000-0000-0000A20D0000}"/>
    <cellStyle name="Accent2 3 6" xfId="3491" xr:uid="{00000000-0005-0000-0000-0000A30D0000}"/>
    <cellStyle name="Accent2 3 6 2" xfId="3492" xr:uid="{00000000-0005-0000-0000-0000A40D0000}"/>
    <cellStyle name="Accent2 3 7" xfId="3493" xr:uid="{00000000-0005-0000-0000-0000A50D0000}"/>
    <cellStyle name="Accent2 3 7 2" xfId="3494" xr:uid="{00000000-0005-0000-0000-0000A60D0000}"/>
    <cellStyle name="Accent2 3 8" xfId="3495" xr:uid="{00000000-0005-0000-0000-0000A70D0000}"/>
    <cellStyle name="Accent2 3 8 2" xfId="3496" xr:uid="{00000000-0005-0000-0000-0000A80D0000}"/>
    <cellStyle name="Accent2 3 8 2 2" xfId="3497" xr:uid="{00000000-0005-0000-0000-0000A90D0000}"/>
    <cellStyle name="Accent2 3 8 3" xfId="3498" xr:uid="{00000000-0005-0000-0000-0000AA0D0000}"/>
    <cellStyle name="Accent2 3 9" xfId="3499" xr:uid="{00000000-0005-0000-0000-0000AB0D0000}"/>
    <cellStyle name="Accent2 3 9 2" xfId="3500" xr:uid="{00000000-0005-0000-0000-0000AC0D0000}"/>
    <cellStyle name="Accent2 3 9 2 2" xfId="3501" xr:uid="{00000000-0005-0000-0000-0000AD0D0000}"/>
    <cellStyle name="Accent2 3 9 3" xfId="3502" xr:uid="{00000000-0005-0000-0000-0000AE0D0000}"/>
    <cellStyle name="Accent2 30" xfId="3503" xr:uid="{00000000-0005-0000-0000-0000AF0D0000}"/>
    <cellStyle name="Accent2 30 2" xfId="3504" xr:uid="{00000000-0005-0000-0000-0000B00D0000}"/>
    <cellStyle name="Accent2 30 2 2" xfId="3505" xr:uid="{00000000-0005-0000-0000-0000B10D0000}"/>
    <cellStyle name="Accent2 30 3" xfId="3506" xr:uid="{00000000-0005-0000-0000-0000B20D0000}"/>
    <cellStyle name="Accent2 31" xfId="3507" xr:uid="{00000000-0005-0000-0000-0000B30D0000}"/>
    <cellStyle name="Accent2 31 2" xfId="3508" xr:uid="{00000000-0005-0000-0000-0000B40D0000}"/>
    <cellStyle name="Accent2 31 2 2" xfId="3509" xr:uid="{00000000-0005-0000-0000-0000B50D0000}"/>
    <cellStyle name="Accent2 31 3" xfId="3510" xr:uid="{00000000-0005-0000-0000-0000B60D0000}"/>
    <cellStyle name="Accent2 32" xfId="3511" xr:uid="{00000000-0005-0000-0000-0000B70D0000}"/>
    <cellStyle name="Accent2 32 2" xfId="3512" xr:uid="{00000000-0005-0000-0000-0000B80D0000}"/>
    <cellStyle name="Accent2 32 2 2" xfId="3513" xr:uid="{00000000-0005-0000-0000-0000B90D0000}"/>
    <cellStyle name="Accent2 32 3" xfId="3514" xr:uid="{00000000-0005-0000-0000-0000BA0D0000}"/>
    <cellStyle name="Accent2 33" xfId="3515" xr:uid="{00000000-0005-0000-0000-0000BB0D0000}"/>
    <cellStyle name="Accent2 33 2" xfId="3516" xr:uid="{00000000-0005-0000-0000-0000BC0D0000}"/>
    <cellStyle name="Accent2 33 2 2" xfId="3517" xr:uid="{00000000-0005-0000-0000-0000BD0D0000}"/>
    <cellStyle name="Accent2 33 3" xfId="3518" xr:uid="{00000000-0005-0000-0000-0000BE0D0000}"/>
    <cellStyle name="Accent2 34" xfId="3519" xr:uid="{00000000-0005-0000-0000-0000BF0D0000}"/>
    <cellStyle name="Accent2 34 2" xfId="3520" xr:uid="{00000000-0005-0000-0000-0000C00D0000}"/>
    <cellStyle name="Accent2 34 2 2" xfId="3521" xr:uid="{00000000-0005-0000-0000-0000C10D0000}"/>
    <cellStyle name="Accent2 34 3" xfId="3522" xr:uid="{00000000-0005-0000-0000-0000C20D0000}"/>
    <cellStyle name="Accent2 35" xfId="3523" xr:uid="{00000000-0005-0000-0000-0000C30D0000}"/>
    <cellStyle name="Accent2 35 2" xfId="3524" xr:uid="{00000000-0005-0000-0000-0000C40D0000}"/>
    <cellStyle name="Accent2 35 2 2" xfId="3525" xr:uid="{00000000-0005-0000-0000-0000C50D0000}"/>
    <cellStyle name="Accent2 35 3" xfId="3526" xr:uid="{00000000-0005-0000-0000-0000C60D0000}"/>
    <cellStyle name="Accent2 36" xfId="3527" xr:uid="{00000000-0005-0000-0000-0000C70D0000}"/>
    <cellStyle name="Accent2 36 2" xfId="3528" xr:uid="{00000000-0005-0000-0000-0000C80D0000}"/>
    <cellStyle name="Accent2 36 2 2" xfId="3529" xr:uid="{00000000-0005-0000-0000-0000C90D0000}"/>
    <cellStyle name="Accent2 36 3" xfId="3530" xr:uid="{00000000-0005-0000-0000-0000CA0D0000}"/>
    <cellStyle name="Accent2 37" xfId="3531" xr:uid="{00000000-0005-0000-0000-0000CB0D0000}"/>
    <cellStyle name="Accent2 37 2" xfId="3532" xr:uid="{00000000-0005-0000-0000-0000CC0D0000}"/>
    <cellStyle name="Accent2 37 2 2" xfId="3533" xr:uid="{00000000-0005-0000-0000-0000CD0D0000}"/>
    <cellStyle name="Accent2 37 3" xfId="3534" xr:uid="{00000000-0005-0000-0000-0000CE0D0000}"/>
    <cellStyle name="Accent2 38" xfId="3535" xr:uid="{00000000-0005-0000-0000-0000CF0D0000}"/>
    <cellStyle name="Accent2 38 2" xfId="3536" xr:uid="{00000000-0005-0000-0000-0000D00D0000}"/>
    <cellStyle name="Accent2 38 2 2" xfId="3537" xr:uid="{00000000-0005-0000-0000-0000D10D0000}"/>
    <cellStyle name="Accent2 38 3" xfId="3538" xr:uid="{00000000-0005-0000-0000-0000D20D0000}"/>
    <cellStyle name="Accent2 39" xfId="3539" xr:uid="{00000000-0005-0000-0000-0000D30D0000}"/>
    <cellStyle name="Accent2 39 2" xfId="3540" xr:uid="{00000000-0005-0000-0000-0000D40D0000}"/>
    <cellStyle name="Accent2 39 2 2" xfId="3541" xr:uid="{00000000-0005-0000-0000-0000D50D0000}"/>
    <cellStyle name="Accent2 39 3" xfId="3542" xr:uid="{00000000-0005-0000-0000-0000D60D0000}"/>
    <cellStyle name="Accent2 4" xfId="3543" xr:uid="{00000000-0005-0000-0000-0000D70D0000}"/>
    <cellStyle name="Accent2 4 2" xfId="3544" xr:uid="{00000000-0005-0000-0000-0000D80D0000}"/>
    <cellStyle name="Accent2 4 2 2" xfId="3545" xr:uid="{00000000-0005-0000-0000-0000D90D0000}"/>
    <cellStyle name="Accent2 4 2 2 2" xfId="3546" xr:uid="{00000000-0005-0000-0000-0000DA0D0000}"/>
    <cellStyle name="Accent2 4 2 3" xfId="3547" xr:uid="{00000000-0005-0000-0000-0000DB0D0000}"/>
    <cellStyle name="Accent2 4 2 3 2" xfId="3548" xr:uid="{00000000-0005-0000-0000-0000DC0D0000}"/>
    <cellStyle name="Accent2 4 2 3 2 2" xfId="3549" xr:uid="{00000000-0005-0000-0000-0000DD0D0000}"/>
    <cellStyle name="Accent2 4 2 3 3" xfId="3550" xr:uid="{00000000-0005-0000-0000-0000DE0D0000}"/>
    <cellStyle name="Accent2 4 2 4" xfId="3551" xr:uid="{00000000-0005-0000-0000-0000DF0D0000}"/>
    <cellStyle name="Accent2 4 3" xfId="3552" xr:uid="{00000000-0005-0000-0000-0000E00D0000}"/>
    <cellStyle name="Accent2 4 3 2" xfId="3553" xr:uid="{00000000-0005-0000-0000-0000E10D0000}"/>
    <cellStyle name="Accent2 4 3 2 2" xfId="3554" xr:uid="{00000000-0005-0000-0000-0000E20D0000}"/>
    <cellStyle name="Accent2 4 3 3" xfId="3555" xr:uid="{00000000-0005-0000-0000-0000E30D0000}"/>
    <cellStyle name="Accent2 4 3 3 2" xfId="3556" xr:uid="{00000000-0005-0000-0000-0000E40D0000}"/>
    <cellStyle name="Accent2 4 3 3 2 2" xfId="3557" xr:uid="{00000000-0005-0000-0000-0000E50D0000}"/>
    <cellStyle name="Accent2 4 3 3 3" xfId="3558" xr:uid="{00000000-0005-0000-0000-0000E60D0000}"/>
    <cellStyle name="Accent2 4 3 4" xfId="3559" xr:uid="{00000000-0005-0000-0000-0000E70D0000}"/>
    <cellStyle name="Accent2 4 4" xfId="3560" xr:uid="{00000000-0005-0000-0000-0000E80D0000}"/>
    <cellStyle name="Accent2 4 4 2" xfId="3561" xr:uid="{00000000-0005-0000-0000-0000E90D0000}"/>
    <cellStyle name="Accent2 4 4 2 2" xfId="3562" xr:uid="{00000000-0005-0000-0000-0000EA0D0000}"/>
    <cellStyle name="Accent2 4 4 3" xfId="3563" xr:uid="{00000000-0005-0000-0000-0000EB0D0000}"/>
    <cellStyle name="Accent2 4 5" xfId="3564" xr:uid="{00000000-0005-0000-0000-0000EC0D0000}"/>
    <cellStyle name="Accent2 4 5 2" xfId="3565" xr:uid="{00000000-0005-0000-0000-0000ED0D0000}"/>
    <cellStyle name="Accent2 4 6" xfId="3566" xr:uid="{00000000-0005-0000-0000-0000EE0D0000}"/>
    <cellStyle name="Accent2 4 6 2" xfId="3567" xr:uid="{00000000-0005-0000-0000-0000EF0D0000}"/>
    <cellStyle name="Accent2 4 7" xfId="3568" xr:uid="{00000000-0005-0000-0000-0000F00D0000}"/>
    <cellStyle name="Accent2 40" xfId="3569" xr:uid="{00000000-0005-0000-0000-0000F10D0000}"/>
    <cellStyle name="Accent2 40 2" xfId="3570" xr:uid="{00000000-0005-0000-0000-0000F20D0000}"/>
    <cellStyle name="Accent2 40 2 2" xfId="3571" xr:uid="{00000000-0005-0000-0000-0000F30D0000}"/>
    <cellStyle name="Accent2 40 3" xfId="3572" xr:uid="{00000000-0005-0000-0000-0000F40D0000}"/>
    <cellStyle name="Accent2 41" xfId="3573" xr:uid="{00000000-0005-0000-0000-0000F50D0000}"/>
    <cellStyle name="Accent2 41 2" xfId="3574" xr:uid="{00000000-0005-0000-0000-0000F60D0000}"/>
    <cellStyle name="Accent2 41 2 2" xfId="3575" xr:uid="{00000000-0005-0000-0000-0000F70D0000}"/>
    <cellStyle name="Accent2 41 3" xfId="3576" xr:uid="{00000000-0005-0000-0000-0000F80D0000}"/>
    <cellStyle name="Accent2 42" xfId="3577" xr:uid="{00000000-0005-0000-0000-0000F90D0000}"/>
    <cellStyle name="Accent2 42 2" xfId="3578" xr:uid="{00000000-0005-0000-0000-0000FA0D0000}"/>
    <cellStyle name="Accent2 42 2 2" xfId="3579" xr:uid="{00000000-0005-0000-0000-0000FB0D0000}"/>
    <cellStyle name="Accent2 42 3" xfId="3580" xr:uid="{00000000-0005-0000-0000-0000FC0D0000}"/>
    <cellStyle name="Accent2 43" xfId="3581" xr:uid="{00000000-0005-0000-0000-0000FD0D0000}"/>
    <cellStyle name="Accent2 43 2" xfId="3582" xr:uid="{00000000-0005-0000-0000-0000FE0D0000}"/>
    <cellStyle name="Accent2 43 2 2" xfId="3583" xr:uid="{00000000-0005-0000-0000-0000FF0D0000}"/>
    <cellStyle name="Accent2 43 3" xfId="3584" xr:uid="{00000000-0005-0000-0000-0000000E0000}"/>
    <cellStyle name="Accent2 44" xfId="3585" xr:uid="{00000000-0005-0000-0000-0000010E0000}"/>
    <cellStyle name="Accent2 44 2" xfId="3586" xr:uid="{00000000-0005-0000-0000-0000020E0000}"/>
    <cellStyle name="Accent2 44 2 2" xfId="3587" xr:uid="{00000000-0005-0000-0000-0000030E0000}"/>
    <cellStyle name="Accent2 44 3" xfId="3588" xr:uid="{00000000-0005-0000-0000-0000040E0000}"/>
    <cellStyle name="Accent2 45" xfId="3589" xr:uid="{00000000-0005-0000-0000-0000050E0000}"/>
    <cellStyle name="Accent2 45 2" xfId="3590" xr:uid="{00000000-0005-0000-0000-0000060E0000}"/>
    <cellStyle name="Accent2 45 2 2" xfId="3591" xr:uid="{00000000-0005-0000-0000-0000070E0000}"/>
    <cellStyle name="Accent2 45 3" xfId="3592" xr:uid="{00000000-0005-0000-0000-0000080E0000}"/>
    <cellStyle name="Accent2 46" xfId="3593" xr:uid="{00000000-0005-0000-0000-0000090E0000}"/>
    <cellStyle name="Accent2 46 2" xfId="3594" xr:uid="{00000000-0005-0000-0000-00000A0E0000}"/>
    <cellStyle name="Accent2 46 2 2" xfId="3595" xr:uid="{00000000-0005-0000-0000-00000B0E0000}"/>
    <cellStyle name="Accent2 46 3" xfId="3596" xr:uid="{00000000-0005-0000-0000-00000C0E0000}"/>
    <cellStyle name="Accent2 47" xfId="3597" xr:uid="{00000000-0005-0000-0000-00000D0E0000}"/>
    <cellStyle name="Accent2 47 2" xfId="3598" xr:uid="{00000000-0005-0000-0000-00000E0E0000}"/>
    <cellStyle name="Accent2 47 2 2" xfId="3599" xr:uid="{00000000-0005-0000-0000-00000F0E0000}"/>
    <cellStyle name="Accent2 47 3" xfId="3600" xr:uid="{00000000-0005-0000-0000-0000100E0000}"/>
    <cellStyle name="Accent2 48" xfId="3601" xr:uid="{00000000-0005-0000-0000-0000110E0000}"/>
    <cellStyle name="Accent2 48 2" xfId="3602" xr:uid="{00000000-0005-0000-0000-0000120E0000}"/>
    <cellStyle name="Accent2 48 2 2" xfId="3603" xr:uid="{00000000-0005-0000-0000-0000130E0000}"/>
    <cellStyle name="Accent2 48 3" xfId="3604" xr:uid="{00000000-0005-0000-0000-0000140E0000}"/>
    <cellStyle name="Accent2 48 3 2" xfId="3605" xr:uid="{00000000-0005-0000-0000-0000150E0000}"/>
    <cellStyle name="Accent2 48 3 2 2" xfId="3606" xr:uid="{00000000-0005-0000-0000-0000160E0000}"/>
    <cellStyle name="Accent2 48 3 3" xfId="3607" xr:uid="{00000000-0005-0000-0000-0000170E0000}"/>
    <cellStyle name="Accent2 48 4" xfId="3608" xr:uid="{00000000-0005-0000-0000-0000180E0000}"/>
    <cellStyle name="Accent2 49" xfId="3609" xr:uid="{00000000-0005-0000-0000-0000190E0000}"/>
    <cellStyle name="Accent2 49 2" xfId="3610" xr:uid="{00000000-0005-0000-0000-00001A0E0000}"/>
    <cellStyle name="Accent2 49 2 2" xfId="3611" xr:uid="{00000000-0005-0000-0000-00001B0E0000}"/>
    <cellStyle name="Accent2 49 3" xfId="3612" xr:uid="{00000000-0005-0000-0000-00001C0E0000}"/>
    <cellStyle name="Accent2 49 3 2" xfId="3613" xr:uid="{00000000-0005-0000-0000-00001D0E0000}"/>
    <cellStyle name="Accent2 49 3 2 2" xfId="3614" xr:uid="{00000000-0005-0000-0000-00001E0E0000}"/>
    <cellStyle name="Accent2 49 3 3" xfId="3615" xr:uid="{00000000-0005-0000-0000-00001F0E0000}"/>
    <cellStyle name="Accent2 49 4" xfId="3616" xr:uid="{00000000-0005-0000-0000-0000200E0000}"/>
    <cellStyle name="Accent2 5" xfId="3617" xr:uid="{00000000-0005-0000-0000-0000210E0000}"/>
    <cellStyle name="Accent2 5 2" xfId="3618" xr:uid="{00000000-0005-0000-0000-0000220E0000}"/>
    <cellStyle name="Accent2 5 2 2" xfId="3619" xr:uid="{00000000-0005-0000-0000-0000230E0000}"/>
    <cellStyle name="Accent2 5 2 2 2" xfId="3620" xr:uid="{00000000-0005-0000-0000-0000240E0000}"/>
    <cellStyle name="Accent2 5 2 3" xfId="3621" xr:uid="{00000000-0005-0000-0000-0000250E0000}"/>
    <cellStyle name="Accent2 5 2 3 2" xfId="3622" xr:uid="{00000000-0005-0000-0000-0000260E0000}"/>
    <cellStyle name="Accent2 5 2 3 2 2" xfId="3623" xr:uid="{00000000-0005-0000-0000-0000270E0000}"/>
    <cellStyle name="Accent2 5 2 3 3" xfId="3624" xr:uid="{00000000-0005-0000-0000-0000280E0000}"/>
    <cellStyle name="Accent2 5 2 4" xfId="3625" xr:uid="{00000000-0005-0000-0000-0000290E0000}"/>
    <cellStyle name="Accent2 5 3" xfId="3626" xr:uid="{00000000-0005-0000-0000-00002A0E0000}"/>
    <cellStyle name="Accent2 5 3 2" xfId="3627" xr:uid="{00000000-0005-0000-0000-00002B0E0000}"/>
    <cellStyle name="Accent2 5 3 2 2" xfId="3628" xr:uid="{00000000-0005-0000-0000-00002C0E0000}"/>
    <cellStyle name="Accent2 5 3 3" xfId="3629" xr:uid="{00000000-0005-0000-0000-00002D0E0000}"/>
    <cellStyle name="Accent2 5 3 3 2" xfId="3630" xr:uid="{00000000-0005-0000-0000-00002E0E0000}"/>
    <cellStyle name="Accent2 5 3 3 2 2" xfId="3631" xr:uid="{00000000-0005-0000-0000-00002F0E0000}"/>
    <cellStyle name="Accent2 5 3 3 3" xfId="3632" xr:uid="{00000000-0005-0000-0000-0000300E0000}"/>
    <cellStyle name="Accent2 5 3 4" xfId="3633" xr:uid="{00000000-0005-0000-0000-0000310E0000}"/>
    <cellStyle name="Accent2 5 4" xfId="3634" xr:uid="{00000000-0005-0000-0000-0000320E0000}"/>
    <cellStyle name="Accent2 5 4 2" xfId="3635" xr:uid="{00000000-0005-0000-0000-0000330E0000}"/>
    <cellStyle name="Accent2 5 5" xfId="3636" xr:uid="{00000000-0005-0000-0000-0000340E0000}"/>
    <cellStyle name="Accent2 5 5 2" xfId="3637" xr:uid="{00000000-0005-0000-0000-0000350E0000}"/>
    <cellStyle name="Accent2 5 6" xfId="3638" xr:uid="{00000000-0005-0000-0000-0000360E0000}"/>
    <cellStyle name="Accent2 50" xfId="3639" xr:uid="{00000000-0005-0000-0000-0000370E0000}"/>
    <cellStyle name="Accent2 50 2" xfId="3640" xr:uid="{00000000-0005-0000-0000-0000380E0000}"/>
    <cellStyle name="Accent2 50 2 2" xfId="3641" xr:uid="{00000000-0005-0000-0000-0000390E0000}"/>
    <cellStyle name="Accent2 50 3" xfId="3642" xr:uid="{00000000-0005-0000-0000-00003A0E0000}"/>
    <cellStyle name="Accent2 50 3 2" xfId="3643" xr:uid="{00000000-0005-0000-0000-00003B0E0000}"/>
    <cellStyle name="Accent2 50 3 2 2" xfId="3644" xr:uid="{00000000-0005-0000-0000-00003C0E0000}"/>
    <cellStyle name="Accent2 50 3 3" xfId="3645" xr:uid="{00000000-0005-0000-0000-00003D0E0000}"/>
    <cellStyle name="Accent2 50 4" xfId="3646" xr:uid="{00000000-0005-0000-0000-00003E0E0000}"/>
    <cellStyle name="Accent2 51" xfId="3647" xr:uid="{00000000-0005-0000-0000-00003F0E0000}"/>
    <cellStyle name="Accent2 51 2" xfId="3648" xr:uid="{00000000-0005-0000-0000-0000400E0000}"/>
    <cellStyle name="Accent2 51 2 2" xfId="3649" xr:uid="{00000000-0005-0000-0000-0000410E0000}"/>
    <cellStyle name="Accent2 51 3" xfId="3650" xr:uid="{00000000-0005-0000-0000-0000420E0000}"/>
    <cellStyle name="Accent2 51 3 2" xfId="3651" xr:uid="{00000000-0005-0000-0000-0000430E0000}"/>
    <cellStyle name="Accent2 51 3 2 2" xfId="3652" xr:uid="{00000000-0005-0000-0000-0000440E0000}"/>
    <cellStyle name="Accent2 51 3 3" xfId="3653" xr:uid="{00000000-0005-0000-0000-0000450E0000}"/>
    <cellStyle name="Accent2 51 4" xfId="3654" xr:uid="{00000000-0005-0000-0000-0000460E0000}"/>
    <cellStyle name="Accent2 52" xfId="3655" xr:uid="{00000000-0005-0000-0000-0000470E0000}"/>
    <cellStyle name="Accent2 52 2" xfId="3656" xr:uid="{00000000-0005-0000-0000-0000480E0000}"/>
    <cellStyle name="Accent2 52 2 2" xfId="3657" xr:uid="{00000000-0005-0000-0000-0000490E0000}"/>
    <cellStyle name="Accent2 52 3" xfId="3658" xr:uid="{00000000-0005-0000-0000-00004A0E0000}"/>
    <cellStyle name="Accent2 53" xfId="3659" xr:uid="{00000000-0005-0000-0000-00004B0E0000}"/>
    <cellStyle name="Accent2 53 2" xfId="3660" xr:uid="{00000000-0005-0000-0000-00004C0E0000}"/>
    <cellStyle name="Accent2 53 2 2" xfId="3661" xr:uid="{00000000-0005-0000-0000-00004D0E0000}"/>
    <cellStyle name="Accent2 53 3" xfId="3662" xr:uid="{00000000-0005-0000-0000-00004E0E0000}"/>
    <cellStyle name="Accent2 54" xfId="3663" xr:uid="{00000000-0005-0000-0000-00004F0E0000}"/>
    <cellStyle name="Accent2 54 2" xfId="3664" xr:uid="{00000000-0005-0000-0000-0000500E0000}"/>
    <cellStyle name="Accent2 54 2 2" xfId="3665" xr:uid="{00000000-0005-0000-0000-0000510E0000}"/>
    <cellStyle name="Accent2 54 3" xfId="3666" xr:uid="{00000000-0005-0000-0000-0000520E0000}"/>
    <cellStyle name="Accent2 55" xfId="3667" xr:uid="{00000000-0005-0000-0000-0000530E0000}"/>
    <cellStyle name="Accent2 55 2" xfId="3668" xr:uid="{00000000-0005-0000-0000-0000540E0000}"/>
    <cellStyle name="Accent2 55 2 2" xfId="3669" xr:uid="{00000000-0005-0000-0000-0000550E0000}"/>
    <cellStyle name="Accent2 55 3" xfId="3670" xr:uid="{00000000-0005-0000-0000-0000560E0000}"/>
    <cellStyle name="Accent2 56" xfId="3671" xr:uid="{00000000-0005-0000-0000-0000570E0000}"/>
    <cellStyle name="Accent2 56 2" xfId="3672" xr:uid="{00000000-0005-0000-0000-0000580E0000}"/>
    <cellStyle name="Accent2 56 2 2" xfId="3673" xr:uid="{00000000-0005-0000-0000-0000590E0000}"/>
    <cellStyle name="Accent2 56 3" xfId="3674" xr:uid="{00000000-0005-0000-0000-00005A0E0000}"/>
    <cellStyle name="Accent2 57" xfId="3675" xr:uid="{00000000-0005-0000-0000-00005B0E0000}"/>
    <cellStyle name="Accent2 57 2" xfId="3676" xr:uid="{00000000-0005-0000-0000-00005C0E0000}"/>
    <cellStyle name="Accent2 57 2 2" xfId="3677" xr:uid="{00000000-0005-0000-0000-00005D0E0000}"/>
    <cellStyle name="Accent2 57 3" xfId="3678" xr:uid="{00000000-0005-0000-0000-00005E0E0000}"/>
    <cellStyle name="Accent2 58" xfId="3679" xr:uid="{00000000-0005-0000-0000-00005F0E0000}"/>
    <cellStyle name="Accent2 58 2" xfId="3680" xr:uid="{00000000-0005-0000-0000-0000600E0000}"/>
    <cellStyle name="Accent2 58 2 2" xfId="3681" xr:uid="{00000000-0005-0000-0000-0000610E0000}"/>
    <cellStyle name="Accent2 58 3" xfId="3682" xr:uid="{00000000-0005-0000-0000-0000620E0000}"/>
    <cellStyle name="Accent2 58 3 2" xfId="3683" xr:uid="{00000000-0005-0000-0000-0000630E0000}"/>
    <cellStyle name="Accent2 58 3 2 2" xfId="3684" xr:uid="{00000000-0005-0000-0000-0000640E0000}"/>
    <cellStyle name="Accent2 58 3 3" xfId="3685" xr:uid="{00000000-0005-0000-0000-0000650E0000}"/>
    <cellStyle name="Accent2 58 4" xfId="3686" xr:uid="{00000000-0005-0000-0000-0000660E0000}"/>
    <cellStyle name="Accent2 59" xfId="3687" xr:uid="{00000000-0005-0000-0000-0000670E0000}"/>
    <cellStyle name="Accent2 59 2" xfId="3688" xr:uid="{00000000-0005-0000-0000-0000680E0000}"/>
    <cellStyle name="Accent2 59 2 2" xfId="3689" xr:uid="{00000000-0005-0000-0000-0000690E0000}"/>
    <cellStyle name="Accent2 59 3" xfId="3690" xr:uid="{00000000-0005-0000-0000-00006A0E0000}"/>
    <cellStyle name="Accent2 59 3 2" xfId="3691" xr:uid="{00000000-0005-0000-0000-00006B0E0000}"/>
    <cellStyle name="Accent2 59 3 2 2" xfId="3692" xr:uid="{00000000-0005-0000-0000-00006C0E0000}"/>
    <cellStyle name="Accent2 59 3 3" xfId="3693" xr:uid="{00000000-0005-0000-0000-00006D0E0000}"/>
    <cellStyle name="Accent2 59 4" xfId="3694" xr:uid="{00000000-0005-0000-0000-00006E0E0000}"/>
    <cellStyle name="Accent2 6" xfId="3695" xr:uid="{00000000-0005-0000-0000-00006F0E0000}"/>
    <cellStyle name="Accent2 6 2" xfId="3696" xr:uid="{00000000-0005-0000-0000-0000700E0000}"/>
    <cellStyle name="Accent2 6 2 2" xfId="3697" xr:uid="{00000000-0005-0000-0000-0000710E0000}"/>
    <cellStyle name="Accent2 6 2 2 2" xfId="3698" xr:uid="{00000000-0005-0000-0000-0000720E0000}"/>
    <cellStyle name="Accent2 6 2 3" xfId="3699" xr:uid="{00000000-0005-0000-0000-0000730E0000}"/>
    <cellStyle name="Accent2 6 2 3 2" xfId="3700" xr:uid="{00000000-0005-0000-0000-0000740E0000}"/>
    <cellStyle name="Accent2 6 2 3 2 2" xfId="3701" xr:uid="{00000000-0005-0000-0000-0000750E0000}"/>
    <cellStyle name="Accent2 6 2 3 3" xfId="3702" xr:uid="{00000000-0005-0000-0000-0000760E0000}"/>
    <cellStyle name="Accent2 6 2 4" xfId="3703" xr:uid="{00000000-0005-0000-0000-0000770E0000}"/>
    <cellStyle name="Accent2 6 3" xfId="3704" xr:uid="{00000000-0005-0000-0000-0000780E0000}"/>
    <cellStyle name="Accent2 6 3 2" xfId="3705" xr:uid="{00000000-0005-0000-0000-0000790E0000}"/>
    <cellStyle name="Accent2 6 4" xfId="3706" xr:uid="{00000000-0005-0000-0000-00007A0E0000}"/>
    <cellStyle name="Accent2 60" xfId="3707" xr:uid="{00000000-0005-0000-0000-00007B0E0000}"/>
    <cellStyle name="Accent2 60 2" xfId="3708" xr:uid="{00000000-0005-0000-0000-00007C0E0000}"/>
    <cellStyle name="Accent2 60 2 2" xfId="3709" xr:uid="{00000000-0005-0000-0000-00007D0E0000}"/>
    <cellStyle name="Accent2 60 3" xfId="3710" xr:uid="{00000000-0005-0000-0000-00007E0E0000}"/>
    <cellStyle name="Accent2 60 3 2" xfId="3711" xr:uid="{00000000-0005-0000-0000-00007F0E0000}"/>
    <cellStyle name="Accent2 60 3 2 2" xfId="3712" xr:uid="{00000000-0005-0000-0000-0000800E0000}"/>
    <cellStyle name="Accent2 60 3 3" xfId="3713" xr:uid="{00000000-0005-0000-0000-0000810E0000}"/>
    <cellStyle name="Accent2 60 4" xfId="3714" xr:uid="{00000000-0005-0000-0000-0000820E0000}"/>
    <cellStyle name="Accent2 61" xfId="3715" xr:uid="{00000000-0005-0000-0000-0000830E0000}"/>
    <cellStyle name="Accent2 61 2" xfId="3716" xr:uid="{00000000-0005-0000-0000-0000840E0000}"/>
    <cellStyle name="Accent2 61 2 2" xfId="3717" xr:uid="{00000000-0005-0000-0000-0000850E0000}"/>
    <cellStyle name="Accent2 61 3" xfId="3718" xr:uid="{00000000-0005-0000-0000-0000860E0000}"/>
    <cellStyle name="Accent2 61 3 2" xfId="3719" xr:uid="{00000000-0005-0000-0000-0000870E0000}"/>
    <cellStyle name="Accent2 61 3 2 2" xfId="3720" xr:uid="{00000000-0005-0000-0000-0000880E0000}"/>
    <cellStyle name="Accent2 61 3 3" xfId="3721" xr:uid="{00000000-0005-0000-0000-0000890E0000}"/>
    <cellStyle name="Accent2 61 4" xfId="3722" xr:uid="{00000000-0005-0000-0000-00008A0E0000}"/>
    <cellStyle name="Accent2 62" xfId="3723" xr:uid="{00000000-0005-0000-0000-00008B0E0000}"/>
    <cellStyle name="Accent2 62 2" xfId="3724" xr:uid="{00000000-0005-0000-0000-00008C0E0000}"/>
    <cellStyle name="Accent2 62 2 2" xfId="3725" xr:uid="{00000000-0005-0000-0000-00008D0E0000}"/>
    <cellStyle name="Accent2 62 3" xfId="3726" xr:uid="{00000000-0005-0000-0000-00008E0E0000}"/>
    <cellStyle name="Accent2 62 3 2" xfId="3727" xr:uid="{00000000-0005-0000-0000-00008F0E0000}"/>
    <cellStyle name="Accent2 62 3 2 2" xfId="3728" xr:uid="{00000000-0005-0000-0000-0000900E0000}"/>
    <cellStyle name="Accent2 62 3 3" xfId="3729" xr:uid="{00000000-0005-0000-0000-0000910E0000}"/>
    <cellStyle name="Accent2 62 4" xfId="3730" xr:uid="{00000000-0005-0000-0000-0000920E0000}"/>
    <cellStyle name="Accent2 63" xfId="3731" xr:uid="{00000000-0005-0000-0000-0000930E0000}"/>
    <cellStyle name="Accent2 63 2" xfId="3732" xr:uid="{00000000-0005-0000-0000-0000940E0000}"/>
    <cellStyle name="Accent2 63 2 2" xfId="3733" xr:uid="{00000000-0005-0000-0000-0000950E0000}"/>
    <cellStyle name="Accent2 63 3" xfId="3734" xr:uid="{00000000-0005-0000-0000-0000960E0000}"/>
    <cellStyle name="Accent2 63 3 2" xfId="3735" xr:uid="{00000000-0005-0000-0000-0000970E0000}"/>
    <cellStyle name="Accent2 63 3 2 2" xfId="3736" xr:uid="{00000000-0005-0000-0000-0000980E0000}"/>
    <cellStyle name="Accent2 63 3 3" xfId="3737" xr:uid="{00000000-0005-0000-0000-0000990E0000}"/>
    <cellStyle name="Accent2 63 4" xfId="3738" xr:uid="{00000000-0005-0000-0000-00009A0E0000}"/>
    <cellStyle name="Accent2 64" xfId="3739" xr:uid="{00000000-0005-0000-0000-00009B0E0000}"/>
    <cellStyle name="Accent2 64 2" xfId="3740" xr:uid="{00000000-0005-0000-0000-00009C0E0000}"/>
    <cellStyle name="Accent2 64 2 2" xfId="3741" xr:uid="{00000000-0005-0000-0000-00009D0E0000}"/>
    <cellStyle name="Accent2 64 3" xfId="3742" xr:uid="{00000000-0005-0000-0000-00009E0E0000}"/>
    <cellStyle name="Accent2 64 3 2" xfId="3743" xr:uid="{00000000-0005-0000-0000-00009F0E0000}"/>
    <cellStyle name="Accent2 64 3 2 2" xfId="3744" xr:uid="{00000000-0005-0000-0000-0000A00E0000}"/>
    <cellStyle name="Accent2 64 3 3" xfId="3745" xr:uid="{00000000-0005-0000-0000-0000A10E0000}"/>
    <cellStyle name="Accent2 64 4" xfId="3746" xr:uid="{00000000-0005-0000-0000-0000A20E0000}"/>
    <cellStyle name="Accent2 65" xfId="3747" xr:uid="{00000000-0005-0000-0000-0000A30E0000}"/>
    <cellStyle name="Accent2 65 2" xfId="3748" xr:uid="{00000000-0005-0000-0000-0000A40E0000}"/>
    <cellStyle name="Accent2 65 2 2" xfId="3749" xr:uid="{00000000-0005-0000-0000-0000A50E0000}"/>
    <cellStyle name="Accent2 65 3" xfId="3750" xr:uid="{00000000-0005-0000-0000-0000A60E0000}"/>
    <cellStyle name="Accent2 65 3 2" xfId="3751" xr:uid="{00000000-0005-0000-0000-0000A70E0000}"/>
    <cellStyle name="Accent2 65 3 2 2" xfId="3752" xr:uid="{00000000-0005-0000-0000-0000A80E0000}"/>
    <cellStyle name="Accent2 65 3 3" xfId="3753" xr:uid="{00000000-0005-0000-0000-0000A90E0000}"/>
    <cellStyle name="Accent2 65 4" xfId="3754" xr:uid="{00000000-0005-0000-0000-0000AA0E0000}"/>
    <cellStyle name="Accent2 66" xfId="3755" xr:uid="{00000000-0005-0000-0000-0000AB0E0000}"/>
    <cellStyle name="Accent2 66 2" xfId="3756" xr:uid="{00000000-0005-0000-0000-0000AC0E0000}"/>
    <cellStyle name="Accent2 66 2 2" xfId="3757" xr:uid="{00000000-0005-0000-0000-0000AD0E0000}"/>
    <cellStyle name="Accent2 66 3" xfId="3758" xr:uid="{00000000-0005-0000-0000-0000AE0E0000}"/>
    <cellStyle name="Accent2 66 3 2" xfId="3759" xr:uid="{00000000-0005-0000-0000-0000AF0E0000}"/>
    <cellStyle name="Accent2 66 3 2 2" xfId="3760" xr:uid="{00000000-0005-0000-0000-0000B00E0000}"/>
    <cellStyle name="Accent2 66 3 3" xfId="3761" xr:uid="{00000000-0005-0000-0000-0000B10E0000}"/>
    <cellStyle name="Accent2 66 4" xfId="3762" xr:uid="{00000000-0005-0000-0000-0000B20E0000}"/>
    <cellStyle name="Accent2 67" xfId="3763" xr:uid="{00000000-0005-0000-0000-0000B30E0000}"/>
    <cellStyle name="Accent2 67 2" xfId="3764" xr:uid="{00000000-0005-0000-0000-0000B40E0000}"/>
    <cellStyle name="Accent2 67 2 2" xfId="3765" xr:uid="{00000000-0005-0000-0000-0000B50E0000}"/>
    <cellStyle name="Accent2 67 3" xfId="3766" xr:uid="{00000000-0005-0000-0000-0000B60E0000}"/>
    <cellStyle name="Accent2 67 3 2" xfId="3767" xr:uid="{00000000-0005-0000-0000-0000B70E0000}"/>
    <cellStyle name="Accent2 67 3 2 2" xfId="3768" xr:uid="{00000000-0005-0000-0000-0000B80E0000}"/>
    <cellStyle name="Accent2 67 3 3" xfId="3769" xr:uid="{00000000-0005-0000-0000-0000B90E0000}"/>
    <cellStyle name="Accent2 67 4" xfId="3770" xr:uid="{00000000-0005-0000-0000-0000BA0E0000}"/>
    <cellStyle name="Accent2 68" xfId="3771" xr:uid="{00000000-0005-0000-0000-0000BB0E0000}"/>
    <cellStyle name="Accent2 68 2" xfId="3772" xr:uid="{00000000-0005-0000-0000-0000BC0E0000}"/>
    <cellStyle name="Accent2 68 2 2" xfId="3773" xr:uid="{00000000-0005-0000-0000-0000BD0E0000}"/>
    <cellStyle name="Accent2 68 3" xfId="3774" xr:uid="{00000000-0005-0000-0000-0000BE0E0000}"/>
    <cellStyle name="Accent2 68 3 2" xfId="3775" xr:uid="{00000000-0005-0000-0000-0000BF0E0000}"/>
    <cellStyle name="Accent2 68 3 2 2" xfId="3776" xr:uid="{00000000-0005-0000-0000-0000C00E0000}"/>
    <cellStyle name="Accent2 68 3 3" xfId="3777" xr:uid="{00000000-0005-0000-0000-0000C10E0000}"/>
    <cellStyle name="Accent2 68 4" xfId="3778" xr:uid="{00000000-0005-0000-0000-0000C20E0000}"/>
    <cellStyle name="Accent2 69" xfId="3779" xr:uid="{00000000-0005-0000-0000-0000C30E0000}"/>
    <cellStyle name="Accent2 69 2" xfId="3780" xr:uid="{00000000-0005-0000-0000-0000C40E0000}"/>
    <cellStyle name="Accent2 69 2 2" xfId="3781" xr:uid="{00000000-0005-0000-0000-0000C50E0000}"/>
    <cellStyle name="Accent2 69 3" xfId="3782" xr:uid="{00000000-0005-0000-0000-0000C60E0000}"/>
    <cellStyle name="Accent2 69 3 2" xfId="3783" xr:uid="{00000000-0005-0000-0000-0000C70E0000}"/>
    <cellStyle name="Accent2 69 3 2 2" xfId="3784" xr:uid="{00000000-0005-0000-0000-0000C80E0000}"/>
    <cellStyle name="Accent2 69 3 3" xfId="3785" xr:uid="{00000000-0005-0000-0000-0000C90E0000}"/>
    <cellStyle name="Accent2 69 4" xfId="3786" xr:uid="{00000000-0005-0000-0000-0000CA0E0000}"/>
    <cellStyle name="Accent2 7" xfId="3787" xr:uid="{00000000-0005-0000-0000-0000CB0E0000}"/>
    <cellStyle name="Accent2 7 2" xfId="3788" xr:uid="{00000000-0005-0000-0000-0000CC0E0000}"/>
    <cellStyle name="Accent2 7 2 2" xfId="3789" xr:uid="{00000000-0005-0000-0000-0000CD0E0000}"/>
    <cellStyle name="Accent2 7 2 2 2" xfId="3790" xr:uid="{00000000-0005-0000-0000-0000CE0E0000}"/>
    <cellStyle name="Accent2 7 2 3" xfId="3791" xr:uid="{00000000-0005-0000-0000-0000CF0E0000}"/>
    <cellStyle name="Accent2 7 2 3 2" xfId="3792" xr:uid="{00000000-0005-0000-0000-0000D00E0000}"/>
    <cellStyle name="Accent2 7 2 3 2 2" xfId="3793" xr:uid="{00000000-0005-0000-0000-0000D10E0000}"/>
    <cellStyle name="Accent2 7 2 3 3" xfId="3794" xr:uid="{00000000-0005-0000-0000-0000D20E0000}"/>
    <cellStyle name="Accent2 7 2 4" xfId="3795" xr:uid="{00000000-0005-0000-0000-0000D30E0000}"/>
    <cellStyle name="Accent2 7 3" xfId="3796" xr:uid="{00000000-0005-0000-0000-0000D40E0000}"/>
    <cellStyle name="Accent2 7 3 2" xfId="3797" xr:uid="{00000000-0005-0000-0000-0000D50E0000}"/>
    <cellStyle name="Accent2 7 4" xfId="3798" xr:uid="{00000000-0005-0000-0000-0000D60E0000}"/>
    <cellStyle name="Accent2 70" xfId="3799" xr:uid="{00000000-0005-0000-0000-0000D70E0000}"/>
    <cellStyle name="Accent2 70 2" xfId="3800" xr:uid="{00000000-0005-0000-0000-0000D80E0000}"/>
    <cellStyle name="Accent2 70 2 2" xfId="3801" xr:uid="{00000000-0005-0000-0000-0000D90E0000}"/>
    <cellStyle name="Accent2 70 3" xfId="3802" xr:uid="{00000000-0005-0000-0000-0000DA0E0000}"/>
    <cellStyle name="Accent2 70 3 2" xfId="3803" xr:uid="{00000000-0005-0000-0000-0000DB0E0000}"/>
    <cellStyle name="Accent2 70 3 2 2" xfId="3804" xr:uid="{00000000-0005-0000-0000-0000DC0E0000}"/>
    <cellStyle name="Accent2 70 3 3" xfId="3805" xr:uid="{00000000-0005-0000-0000-0000DD0E0000}"/>
    <cellStyle name="Accent2 70 4" xfId="3806" xr:uid="{00000000-0005-0000-0000-0000DE0E0000}"/>
    <cellStyle name="Accent2 71" xfId="3807" xr:uid="{00000000-0005-0000-0000-0000DF0E0000}"/>
    <cellStyle name="Accent2 71 2" xfId="3808" xr:uid="{00000000-0005-0000-0000-0000E00E0000}"/>
    <cellStyle name="Accent2 71 2 2" xfId="3809" xr:uid="{00000000-0005-0000-0000-0000E10E0000}"/>
    <cellStyle name="Accent2 71 3" xfId="3810" xr:uid="{00000000-0005-0000-0000-0000E20E0000}"/>
    <cellStyle name="Accent2 71 3 2" xfId="3811" xr:uid="{00000000-0005-0000-0000-0000E30E0000}"/>
    <cellStyle name="Accent2 71 3 2 2" xfId="3812" xr:uid="{00000000-0005-0000-0000-0000E40E0000}"/>
    <cellStyle name="Accent2 71 3 3" xfId="3813" xr:uid="{00000000-0005-0000-0000-0000E50E0000}"/>
    <cellStyle name="Accent2 71 4" xfId="3814" xr:uid="{00000000-0005-0000-0000-0000E60E0000}"/>
    <cellStyle name="Accent2 72" xfId="3815" xr:uid="{00000000-0005-0000-0000-0000E70E0000}"/>
    <cellStyle name="Accent2 72 2" xfId="3816" xr:uid="{00000000-0005-0000-0000-0000E80E0000}"/>
    <cellStyle name="Accent2 72 2 2" xfId="3817" xr:uid="{00000000-0005-0000-0000-0000E90E0000}"/>
    <cellStyle name="Accent2 72 3" xfId="3818" xr:uid="{00000000-0005-0000-0000-0000EA0E0000}"/>
    <cellStyle name="Accent2 72 3 2" xfId="3819" xr:uid="{00000000-0005-0000-0000-0000EB0E0000}"/>
    <cellStyle name="Accent2 72 3 2 2" xfId="3820" xr:uid="{00000000-0005-0000-0000-0000EC0E0000}"/>
    <cellStyle name="Accent2 72 3 3" xfId="3821" xr:uid="{00000000-0005-0000-0000-0000ED0E0000}"/>
    <cellStyle name="Accent2 72 4" xfId="3822" xr:uid="{00000000-0005-0000-0000-0000EE0E0000}"/>
    <cellStyle name="Accent2 73" xfId="3823" xr:uid="{00000000-0005-0000-0000-0000EF0E0000}"/>
    <cellStyle name="Accent2 73 2" xfId="3824" xr:uid="{00000000-0005-0000-0000-0000F00E0000}"/>
    <cellStyle name="Accent2 73 2 2" xfId="3825" xr:uid="{00000000-0005-0000-0000-0000F10E0000}"/>
    <cellStyle name="Accent2 73 3" xfId="3826" xr:uid="{00000000-0005-0000-0000-0000F20E0000}"/>
    <cellStyle name="Accent2 73 3 2" xfId="3827" xr:uid="{00000000-0005-0000-0000-0000F30E0000}"/>
    <cellStyle name="Accent2 73 3 2 2" xfId="3828" xr:uid="{00000000-0005-0000-0000-0000F40E0000}"/>
    <cellStyle name="Accent2 73 3 3" xfId="3829" xr:uid="{00000000-0005-0000-0000-0000F50E0000}"/>
    <cellStyle name="Accent2 73 4" xfId="3830" xr:uid="{00000000-0005-0000-0000-0000F60E0000}"/>
    <cellStyle name="Accent2 74" xfId="3831" xr:uid="{00000000-0005-0000-0000-0000F70E0000}"/>
    <cellStyle name="Accent2 74 2" xfId="3832" xr:uid="{00000000-0005-0000-0000-0000F80E0000}"/>
    <cellStyle name="Accent2 74 2 2" xfId="3833" xr:uid="{00000000-0005-0000-0000-0000F90E0000}"/>
    <cellStyle name="Accent2 74 3" xfId="3834" xr:uid="{00000000-0005-0000-0000-0000FA0E0000}"/>
    <cellStyle name="Accent2 74 3 2" xfId="3835" xr:uid="{00000000-0005-0000-0000-0000FB0E0000}"/>
    <cellStyle name="Accent2 74 3 2 2" xfId="3836" xr:uid="{00000000-0005-0000-0000-0000FC0E0000}"/>
    <cellStyle name="Accent2 74 3 3" xfId="3837" xr:uid="{00000000-0005-0000-0000-0000FD0E0000}"/>
    <cellStyle name="Accent2 74 4" xfId="3838" xr:uid="{00000000-0005-0000-0000-0000FE0E0000}"/>
    <cellStyle name="Accent2 75" xfId="3839" xr:uid="{00000000-0005-0000-0000-0000FF0E0000}"/>
    <cellStyle name="Accent2 75 2" xfId="3840" xr:uid="{00000000-0005-0000-0000-0000000F0000}"/>
    <cellStyle name="Accent2 75 2 2" xfId="3841" xr:uid="{00000000-0005-0000-0000-0000010F0000}"/>
    <cellStyle name="Accent2 75 3" xfId="3842" xr:uid="{00000000-0005-0000-0000-0000020F0000}"/>
    <cellStyle name="Accent2 75 3 2" xfId="3843" xr:uid="{00000000-0005-0000-0000-0000030F0000}"/>
    <cellStyle name="Accent2 75 3 2 2" xfId="3844" xr:uid="{00000000-0005-0000-0000-0000040F0000}"/>
    <cellStyle name="Accent2 75 3 3" xfId="3845" xr:uid="{00000000-0005-0000-0000-0000050F0000}"/>
    <cellStyle name="Accent2 75 4" xfId="3846" xr:uid="{00000000-0005-0000-0000-0000060F0000}"/>
    <cellStyle name="Accent2 76" xfId="3847" xr:uid="{00000000-0005-0000-0000-0000070F0000}"/>
    <cellStyle name="Accent2 76 2" xfId="3848" xr:uid="{00000000-0005-0000-0000-0000080F0000}"/>
    <cellStyle name="Accent2 76 2 2" xfId="3849" xr:uid="{00000000-0005-0000-0000-0000090F0000}"/>
    <cellStyle name="Accent2 76 3" xfId="3850" xr:uid="{00000000-0005-0000-0000-00000A0F0000}"/>
    <cellStyle name="Accent2 76 3 2" xfId="3851" xr:uid="{00000000-0005-0000-0000-00000B0F0000}"/>
    <cellStyle name="Accent2 76 3 2 2" xfId="3852" xr:uid="{00000000-0005-0000-0000-00000C0F0000}"/>
    <cellStyle name="Accent2 76 3 3" xfId="3853" xr:uid="{00000000-0005-0000-0000-00000D0F0000}"/>
    <cellStyle name="Accent2 76 4" xfId="3854" xr:uid="{00000000-0005-0000-0000-00000E0F0000}"/>
    <cellStyle name="Accent2 77" xfId="3855" xr:uid="{00000000-0005-0000-0000-00000F0F0000}"/>
    <cellStyle name="Accent2 77 2" xfId="3856" xr:uid="{00000000-0005-0000-0000-0000100F0000}"/>
    <cellStyle name="Accent2 77 2 2" xfId="3857" xr:uid="{00000000-0005-0000-0000-0000110F0000}"/>
    <cellStyle name="Accent2 77 3" xfId="3858" xr:uid="{00000000-0005-0000-0000-0000120F0000}"/>
    <cellStyle name="Accent2 77 3 2" xfId="3859" xr:uid="{00000000-0005-0000-0000-0000130F0000}"/>
    <cellStyle name="Accent2 77 3 2 2" xfId="3860" xr:uid="{00000000-0005-0000-0000-0000140F0000}"/>
    <cellStyle name="Accent2 77 3 3" xfId="3861" xr:uid="{00000000-0005-0000-0000-0000150F0000}"/>
    <cellStyle name="Accent2 77 4" xfId="3862" xr:uid="{00000000-0005-0000-0000-0000160F0000}"/>
    <cellStyle name="Accent2 78" xfId="3863" xr:uid="{00000000-0005-0000-0000-0000170F0000}"/>
    <cellStyle name="Accent2 78 2" xfId="3864" xr:uid="{00000000-0005-0000-0000-0000180F0000}"/>
    <cellStyle name="Accent2 78 2 2" xfId="3865" xr:uid="{00000000-0005-0000-0000-0000190F0000}"/>
    <cellStyle name="Accent2 78 3" xfId="3866" xr:uid="{00000000-0005-0000-0000-00001A0F0000}"/>
    <cellStyle name="Accent2 78 3 2" xfId="3867" xr:uid="{00000000-0005-0000-0000-00001B0F0000}"/>
    <cellStyle name="Accent2 78 3 2 2" xfId="3868" xr:uid="{00000000-0005-0000-0000-00001C0F0000}"/>
    <cellStyle name="Accent2 78 3 3" xfId="3869" xr:uid="{00000000-0005-0000-0000-00001D0F0000}"/>
    <cellStyle name="Accent2 78 4" xfId="3870" xr:uid="{00000000-0005-0000-0000-00001E0F0000}"/>
    <cellStyle name="Accent2 79" xfId="3871" xr:uid="{00000000-0005-0000-0000-00001F0F0000}"/>
    <cellStyle name="Accent2 79 2" xfId="3872" xr:uid="{00000000-0005-0000-0000-0000200F0000}"/>
    <cellStyle name="Accent2 79 2 2" xfId="3873" xr:uid="{00000000-0005-0000-0000-0000210F0000}"/>
    <cellStyle name="Accent2 79 3" xfId="3874" xr:uid="{00000000-0005-0000-0000-0000220F0000}"/>
    <cellStyle name="Accent2 79 3 2" xfId="3875" xr:uid="{00000000-0005-0000-0000-0000230F0000}"/>
    <cellStyle name="Accent2 79 3 2 2" xfId="3876" xr:uid="{00000000-0005-0000-0000-0000240F0000}"/>
    <cellStyle name="Accent2 79 3 3" xfId="3877" xr:uid="{00000000-0005-0000-0000-0000250F0000}"/>
    <cellStyle name="Accent2 79 4" xfId="3878" xr:uid="{00000000-0005-0000-0000-0000260F0000}"/>
    <cellStyle name="Accent2 8" xfId="3879" xr:uid="{00000000-0005-0000-0000-0000270F0000}"/>
    <cellStyle name="Accent2 8 2" xfId="3880" xr:uid="{00000000-0005-0000-0000-0000280F0000}"/>
    <cellStyle name="Accent2 8 2 2" xfId="3881" xr:uid="{00000000-0005-0000-0000-0000290F0000}"/>
    <cellStyle name="Accent2 8 3" xfId="3882" xr:uid="{00000000-0005-0000-0000-00002A0F0000}"/>
    <cellStyle name="Accent2 80" xfId="3883" xr:uid="{00000000-0005-0000-0000-00002B0F0000}"/>
    <cellStyle name="Accent2 80 2" xfId="3884" xr:uid="{00000000-0005-0000-0000-00002C0F0000}"/>
    <cellStyle name="Accent2 80 2 2" xfId="3885" xr:uid="{00000000-0005-0000-0000-00002D0F0000}"/>
    <cellStyle name="Accent2 80 3" xfId="3886" xr:uid="{00000000-0005-0000-0000-00002E0F0000}"/>
    <cellStyle name="Accent2 80 3 2" xfId="3887" xr:uid="{00000000-0005-0000-0000-00002F0F0000}"/>
    <cellStyle name="Accent2 80 3 2 2" xfId="3888" xr:uid="{00000000-0005-0000-0000-0000300F0000}"/>
    <cellStyle name="Accent2 80 3 3" xfId="3889" xr:uid="{00000000-0005-0000-0000-0000310F0000}"/>
    <cellStyle name="Accent2 80 4" xfId="3890" xr:uid="{00000000-0005-0000-0000-0000320F0000}"/>
    <cellStyle name="Accent2 81" xfId="3891" xr:uid="{00000000-0005-0000-0000-0000330F0000}"/>
    <cellStyle name="Accent2 81 2" xfId="3892" xr:uid="{00000000-0005-0000-0000-0000340F0000}"/>
    <cellStyle name="Accent2 81 2 2" xfId="3893" xr:uid="{00000000-0005-0000-0000-0000350F0000}"/>
    <cellStyle name="Accent2 81 3" xfId="3894" xr:uid="{00000000-0005-0000-0000-0000360F0000}"/>
    <cellStyle name="Accent2 81 3 2" xfId="3895" xr:uid="{00000000-0005-0000-0000-0000370F0000}"/>
    <cellStyle name="Accent2 81 3 2 2" xfId="3896" xr:uid="{00000000-0005-0000-0000-0000380F0000}"/>
    <cellStyle name="Accent2 81 3 3" xfId="3897" xr:uid="{00000000-0005-0000-0000-0000390F0000}"/>
    <cellStyle name="Accent2 81 4" xfId="3898" xr:uid="{00000000-0005-0000-0000-00003A0F0000}"/>
    <cellStyle name="Accent2 82" xfId="3899" xr:uid="{00000000-0005-0000-0000-00003B0F0000}"/>
    <cellStyle name="Accent2 82 2" xfId="3900" xr:uid="{00000000-0005-0000-0000-00003C0F0000}"/>
    <cellStyle name="Accent2 82 2 2" xfId="3901" xr:uid="{00000000-0005-0000-0000-00003D0F0000}"/>
    <cellStyle name="Accent2 82 3" xfId="3902" xr:uid="{00000000-0005-0000-0000-00003E0F0000}"/>
    <cellStyle name="Accent2 82 3 2" xfId="3903" xr:uid="{00000000-0005-0000-0000-00003F0F0000}"/>
    <cellStyle name="Accent2 82 3 2 2" xfId="3904" xr:uid="{00000000-0005-0000-0000-0000400F0000}"/>
    <cellStyle name="Accent2 82 3 3" xfId="3905" xr:uid="{00000000-0005-0000-0000-0000410F0000}"/>
    <cellStyle name="Accent2 82 4" xfId="3906" xr:uid="{00000000-0005-0000-0000-0000420F0000}"/>
    <cellStyle name="Accent2 83" xfId="3907" xr:uid="{00000000-0005-0000-0000-0000430F0000}"/>
    <cellStyle name="Accent2 83 2" xfId="3908" xr:uid="{00000000-0005-0000-0000-0000440F0000}"/>
    <cellStyle name="Accent2 83 2 2" xfId="3909" xr:uid="{00000000-0005-0000-0000-0000450F0000}"/>
    <cellStyle name="Accent2 83 3" xfId="3910" xr:uid="{00000000-0005-0000-0000-0000460F0000}"/>
    <cellStyle name="Accent2 83 3 2" xfId="3911" xr:uid="{00000000-0005-0000-0000-0000470F0000}"/>
    <cellStyle name="Accent2 83 3 2 2" xfId="3912" xr:uid="{00000000-0005-0000-0000-0000480F0000}"/>
    <cellStyle name="Accent2 83 3 3" xfId="3913" xr:uid="{00000000-0005-0000-0000-0000490F0000}"/>
    <cellStyle name="Accent2 83 4" xfId="3914" xr:uid="{00000000-0005-0000-0000-00004A0F0000}"/>
    <cellStyle name="Accent2 84" xfId="3915" xr:uid="{00000000-0005-0000-0000-00004B0F0000}"/>
    <cellStyle name="Accent2 84 2" xfId="3916" xr:uid="{00000000-0005-0000-0000-00004C0F0000}"/>
    <cellStyle name="Accent2 84 2 2" xfId="3917" xr:uid="{00000000-0005-0000-0000-00004D0F0000}"/>
    <cellStyle name="Accent2 84 3" xfId="3918" xr:uid="{00000000-0005-0000-0000-00004E0F0000}"/>
    <cellStyle name="Accent2 85" xfId="3919" xr:uid="{00000000-0005-0000-0000-00004F0F0000}"/>
    <cellStyle name="Accent2 85 2" xfId="3920" xr:uid="{00000000-0005-0000-0000-0000500F0000}"/>
    <cellStyle name="Accent2 85 2 2" xfId="3921" xr:uid="{00000000-0005-0000-0000-0000510F0000}"/>
    <cellStyle name="Accent2 85 3" xfId="3922" xr:uid="{00000000-0005-0000-0000-0000520F0000}"/>
    <cellStyle name="Accent2 86" xfId="3923" xr:uid="{00000000-0005-0000-0000-0000530F0000}"/>
    <cellStyle name="Accent2 86 2" xfId="3924" xr:uid="{00000000-0005-0000-0000-0000540F0000}"/>
    <cellStyle name="Accent2 86 2 2" xfId="3925" xr:uid="{00000000-0005-0000-0000-0000550F0000}"/>
    <cellStyle name="Accent2 86 3" xfId="3926" xr:uid="{00000000-0005-0000-0000-0000560F0000}"/>
    <cellStyle name="Accent2 87" xfId="3927" xr:uid="{00000000-0005-0000-0000-0000570F0000}"/>
    <cellStyle name="Accent2 87 2" xfId="3928" xr:uid="{00000000-0005-0000-0000-0000580F0000}"/>
    <cellStyle name="Accent2 87 2 2" xfId="3929" xr:uid="{00000000-0005-0000-0000-0000590F0000}"/>
    <cellStyle name="Accent2 87 3" xfId="3930" xr:uid="{00000000-0005-0000-0000-00005A0F0000}"/>
    <cellStyle name="Accent2 88" xfId="3931" xr:uid="{00000000-0005-0000-0000-00005B0F0000}"/>
    <cellStyle name="Accent2 88 2" xfId="3932" xr:uid="{00000000-0005-0000-0000-00005C0F0000}"/>
    <cellStyle name="Accent2 88 2 2" xfId="3933" xr:uid="{00000000-0005-0000-0000-00005D0F0000}"/>
    <cellStyle name="Accent2 88 3" xfId="3934" xr:uid="{00000000-0005-0000-0000-00005E0F0000}"/>
    <cellStyle name="Accent2 89" xfId="3935" xr:uid="{00000000-0005-0000-0000-00005F0F0000}"/>
    <cellStyle name="Accent2 89 2" xfId="3936" xr:uid="{00000000-0005-0000-0000-0000600F0000}"/>
    <cellStyle name="Accent2 89 2 2" xfId="3937" xr:uid="{00000000-0005-0000-0000-0000610F0000}"/>
    <cellStyle name="Accent2 89 3" xfId="3938" xr:uid="{00000000-0005-0000-0000-0000620F0000}"/>
    <cellStyle name="Accent2 9" xfId="3939" xr:uid="{00000000-0005-0000-0000-0000630F0000}"/>
    <cellStyle name="Accent2 9 2" xfId="3940" xr:uid="{00000000-0005-0000-0000-0000640F0000}"/>
    <cellStyle name="Accent2 9 2 2" xfId="3941" xr:uid="{00000000-0005-0000-0000-0000650F0000}"/>
    <cellStyle name="Accent2 9 3" xfId="3942" xr:uid="{00000000-0005-0000-0000-0000660F0000}"/>
    <cellStyle name="Accent2 90" xfId="3943" xr:uid="{00000000-0005-0000-0000-0000670F0000}"/>
    <cellStyle name="Accent2 90 2" xfId="3944" xr:uid="{00000000-0005-0000-0000-0000680F0000}"/>
    <cellStyle name="Accent2 90 2 2" xfId="3945" xr:uid="{00000000-0005-0000-0000-0000690F0000}"/>
    <cellStyle name="Accent2 90 3" xfId="3946" xr:uid="{00000000-0005-0000-0000-00006A0F0000}"/>
    <cellStyle name="Accent2 91" xfId="3947" xr:uid="{00000000-0005-0000-0000-00006B0F0000}"/>
    <cellStyle name="Accent2 91 2" xfId="3948" xr:uid="{00000000-0005-0000-0000-00006C0F0000}"/>
    <cellStyle name="Accent2 91 2 2" xfId="3949" xr:uid="{00000000-0005-0000-0000-00006D0F0000}"/>
    <cellStyle name="Accent2 91 3" xfId="3950" xr:uid="{00000000-0005-0000-0000-00006E0F0000}"/>
    <cellStyle name="Accent2 92" xfId="3951" xr:uid="{00000000-0005-0000-0000-00006F0F0000}"/>
    <cellStyle name="Accent2 92 2" xfId="3952" xr:uid="{00000000-0005-0000-0000-0000700F0000}"/>
    <cellStyle name="Accent2 92 2 2" xfId="3953" xr:uid="{00000000-0005-0000-0000-0000710F0000}"/>
    <cellStyle name="Accent2 92 3" xfId="3954" xr:uid="{00000000-0005-0000-0000-0000720F0000}"/>
    <cellStyle name="Accent2 93" xfId="3955" xr:uid="{00000000-0005-0000-0000-0000730F0000}"/>
    <cellStyle name="Accent2 93 2" xfId="3956" xr:uid="{00000000-0005-0000-0000-0000740F0000}"/>
    <cellStyle name="Accent2 93 2 2" xfId="3957" xr:uid="{00000000-0005-0000-0000-0000750F0000}"/>
    <cellStyle name="Accent2 93 3" xfId="3958" xr:uid="{00000000-0005-0000-0000-0000760F0000}"/>
    <cellStyle name="Accent2 94" xfId="3959" xr:uid="{00000000-0005-0000-0000-0000770F0000}"/>
    <cellStyle name="Accent2 94 2" xfId="3960" xr:uid="{00000000-0005-0000-0000-0000780F0000}"/>
    <cellStyle name="Accent2 94 2 2" xfId="3961" xr:uid="{00000000-0005-0000-0000-0000790F0000}"/>
    <cellStyle name="Accent2 94 3" xfId="3962" xr:uid="{00000000-0005-0000-0000-00007A0F0000}"/>
    <cellStyle name="Accent2 95" xfId="3963" xr:uid="{00000000-0005-0000-0000-00007B0F0000}"/>
    <cellStyle name="Accent2 95 2" xfId="3964" xr:uid="{00000000-0005-0000-0000-00007C0F0000}"/>
    <cellStyle name="Accent2 95 2 2" xfId="3965" xr:uid="{00000000-0005-0000-0000-00007D0F0000}"/>
    <cellStyle name="Accent2 95 3" xfId="3966" xr:uid="{00000000-0005-0000-0000-00007E0F0000}"/>
    <cellStyle name="Accent2 96" xfId="3967" xr:uid="{00000000-0005-0000-0000-00007F0F0000}"/>
    <cellStyle name="Accent2 96 2" xfId="3968" xr:uid="{00000000-0005-0000-0000-0000800F0000}"/>
    <cellStyle name="Accent2 96 2 2" xfId="3969" xr:uid="{00000000-0005-0000-0000-0000810F0000}"/>
    <cellStyle name="Accent2 96 3" xfId="3970" xr:uid="{00000000-0005-0000-0000-0000820F0000}"/>
    <cellStyle name="Accent2 97" xfId="3971" xr:uid="{00000000-0005-0000-0000-0000830F0000}"/>
    <cellStyle name="Accent2 97 2" xfId="3972" xr:uid="{00000000-0005-0000-0000-0000840F0000}"/>
    <cellStyle name="Accent2 97 2 2" xfId="3973" xr:uid="{00000000-0005-0000-0000-0000850F0000}"/>
    <cellStyle name="Accent2 97 3" xfId="3974" xr:uid="{00000000-0005-0000-0000-0000860F0000}"/>
    <cellStyle name="Accent2 98" xfId="3975" xr:uid="{00000000-0005-0000-0000-0000870F0000}"/>
    <cellStyle name="Accent2 98 2" xfId="3976" xr:uid="{00000000-0005-0000-0000-0000880F0000}"/>
    <cellStyle name="Accent2 98 2 2" xfId="3977" xr:uid="{00000000-0005-0000-0000-0000890F0000}"/>
    <cellStyle name="Accent2 98 3" xfId="3978" xr:uid="{00000000-0005-0000-0000-00008A0F0000}"/>
    <cellStyle name="Accent2 99" xfId="3979" xr:uid="{00000000-0005-0000-0000-00008B0F0000}"/>
    <cellStyle name="Accent2 99 2" xfId="3980" xr:uid="{00000000-0005-0000-0000-00008C0F0000}"/>
    <cellStyle name="Accent2 99 2 2" xfId="3981" xr:uid="{00000000-0005-0000-0000-00008D0F0000}"/>
    <cellStyle name="Accent2 99 3" xfId="3982" xr:uid="{00000000-0005-0000-0000-00008E0F0000}"/>
    <cellStyle name="Accent3 - 20%" xfId="3983" xr:uid="{00000000-0005-0000-0000-00008F0F0000}"/>
    <cellStyle name="Accent3 - 20% 10" xfId="3984" xr:uid="{00000000-0005-0000-0000-0000900F0000}"/>
    <cellStyle name="Accent3 - 20% 11" xfId="3985" xr:uid="{00000000-0005-0000-0000-0000910F0000}"/>
    <cellStyle name="Accent3 - 20% 2" xfId="3986" xr:uid="{00000000-0005-0000-0000-0000920F0000}"/>
    <cellStyle name="Accent3 - 20% 2 2" xfId="3987" xr:uid="{00000000-0005-0000-0000-0000930F0000}"/>
    <cellStyle name="Accent3 - 20% 2 2 2" xfId="3988" xr:uid="{00000000-0005-0000-0000-0000940F0000}"/>
    <cellStyle name="Accent3 - 20% 2 2 2 2" xfId="3989" xr:uid="{00000000-0005-0000-0000-0000950F0000}"/>
    <cellStyle name="Accent3 - 20% 2 2 3" xfId="3990" xr:uid="{00000000-0005-0000-0000-0000960F0000}"/>
    <cellStyle name="Accent3 - 20% 2 3" xfId="3991" xr:uid="{00000000-0005-0000-0000-0000970F0000}"/>
    <cellStyle name="Accent3 - 20% 2 3 2" xfId="3992" xr:uid="{00000000-0005-0000-0000-0000980F0000}"/>
    <cellStyle name="Accent3 - 20% 2 3 2 2" xfId="3993" xr:uid="{00000000-0005-0000-0000-0000990F0000}"/>
    <cellStyle name="Accent3 - 20% 2 3 2 2 2" xfId="3994" xr:uid="{00000000-0005-0000-0000-00009A0F0000}"/>
    <cellStyle name="Accent3 - 20% 2 3 2 3" xfId="3995" xr:uid="{00000000-0005-0000-0000-00009B0F0000}"/>
    <cellStyle name="Accent3 - 20% 2 3 3" xfId="3996" xr:uid="{00000000-0005-0000-0000-00009C0F0000}"/>
    <cellStyle name="Accent3 - 20% 2 3 3 2" xfId="3997" xr:uid="{00000000-0005-0000-0000-00009D0F0000}"/>
    <cellStyle name="Accent3 - 20% 2 3 4" xfId="3998" xr:uid="{00000000-0005-0000-0000-00009E0F0000}"/>
    <cellStyle name="Accent3 - 20% 2 4" xfId="3999" xr:uid="{00000000-0005-0000-0000-00009F0F0000}"/>
    <cellStyle name="Accent3 - 20% 2 4 2" xfId="4000" xr:uid="{00000000-0005-0000-0000-0000A00F0000}"/>
    <cellStyle name="Accent3 - 20% 2 4 2 2" xfId="4001" xr:uid="{00000000-0005-0000-0000-0000A10F0000}"/>
    <cellStyle name="Accent3 - 20% 2 4 2 2 2" xfId="4002" xr:uid="{00000000-0005-0000-0000-0000A20F0000}"/>
    <cellStyle name="Accent3 - 20% 2 4 2 3" xfId="4003" xr:uid="{00000000-0005-0000-0000-0000A30F0000}"/>
    <cellStyle name="Accent3 - 20% 2 4 3" xfId="4004" xr:uid="{00000000-0005-0000-0000-0000A40F0000}"/>
    <cellStyle name="Accent3 - 20% 2 4 3 2" xfId="4005" xr:uid="{00000000-0005-0000-0000-0000A50F0000}"/>
    <cellStyle name="Accent3 - 20% 2 4 4" xfId="4006" xr:uid="{00000000-0005-0000-0000-0000A60F0000}"/>
    <cellStyle name="Accent3 - 20% 2 5" xfId="4007" xr:uid="{00000000-0005-0000-0000-0000A70F0000}"/>
    <cellStyle name="Accent3 - 20% 2 5 2" xfId="4008" xr:uid="{00000000-0005-0000-0000-0000A80F0000}"/>
    <cellStyle name="Accent3 - 20% 2 6" xfId="4009" xr:uid="{00000000-0005-0000-0000-0000A90F0000}"/>
    <cellStyle name="Accent3 - 20% 2 6 2" xfId="4010" xr:uid="{00000000-0005-0000-0000-0000AA0F0000}"/>
    <cellStyle name="Accent3 - 20% 2 7" xfId="4011" xr:uid="{00000000-0005-0000-0000-0000AB0F0000}"/>
    <cellStyle name="Accent3 - 20% 3" xfId="4012" xr:uid="{00000000-0005-0000-0000-0000AC0F0000}"/>
    <cellStyle name="Accent3 - 20% 3 2" xfId="4013" xr:uid="{00000000-0005-0000-0000-0000AD0F0000}"/>
    <cellStyle name="Accent3 - 20% 3 2 2" xfId="4014" xr:uid="{00000000-0005-0000-0000-0000AE0F0000}"/>
    <cellStyle name="Accent3 - 20% 3 2 2 2" xfId="4015" xr:uid="{00000000-0005-0000-0000-0000AF0F0000}"/>
    <cellStyle name="Accent3 - 20% 3 2 3" xfId="4016" xr:uid="{00000000-0005-0000-0000-0000B00F0000}"/>
    <cellStyle name="Accent3 - 20% 3 3" xfId="4017" xr:uid="{00000000-0005-0000-0000-0000B10F0000}"/>
    <cellStyle name="Accent3 - 20% 3 3 2" xfId="4018" xr:uid="{00000000-0005-0000-0000-0000B20F0000}"/>
    <cellStyle name="Accent3 - 20% 3 4" xfId="4019" xr:uid="{00000000-0005-0000-0000-0000B30F0000}"/>
    <cellStyle name="Accent3 - 20% 4" xfId="4020" xr:uid="{00000000-0005-0000-0000-0000B40F0000}"/>
    <cellStyle name="Accent3 - 20% 4 2" xfId="4021" xr:uid="{00000000-0005-0000-0000-0000B50F0000}"/>
    <cellStyle name="Accent3 - 20% 4 2 2" xfId="4022" xr:uid="{00000000-0005-0000-0000-0000B60F0000}"/>
    <cellStyle name="Accent3 - 20% 4 3" xfId="4023" xr:uid="{00000000-0005-0000-0000-0000B70F0000}"/>
    <cellStyle name="Accent3 - 20% 5" xfId="4024" xr:uid="{00000000-0005-0000-0000-0000B80F0000}"/>
    <cellStyle name="Accent3 - 20% 5 2" xfId="4025" xr:uid="{00000000-0005-0000-0000-0000B90F0000}"/>
    <cellStyle name="Accent3 - 20% 5 2 2" xfId="4026" xr:uid="{00000000-0005-0000-0000-0000BA0F0000}"/>
    <cellStyle name="Accent3 - 20% 5 3" xfId="4027" xr:uid="{00000000-0005-0000-0000-0000BB0F0000}"/>
    <cellStyle name="Accent3 - 20% 6" xfId="4028" xr:uid="{00000000-0005-0000-0000-0000BC0F0000}"/>
    <cellStyle name="Accent3 - 20% 6 2" xfId="4029" xr:uid="{00000000-0005-0000-0000-0000BD0F0000}"/>
    <cellStyle name="Accent3 - 20% 7" xfId="4030" xr:uid="{00000000-0005-0000-0000-0000BE0F0000}"/>
    <cellStyle name="Accent3 - 20% 7 2" xfId="4031" xr:uid="{00000000-0005-0000-0000-0000BF0F0000}"/>
    <cellStyle name="Accent3 - 20% 8" xfId="4032" xr:uid="{00000000-0005-0000-0000-0000C00F0000}"/>
    <cellStyle name="Accent3 - 20% 8 2" xfId="4033" xr:uid="{00000000-0005-0000-0000-0000C10F0000}"/>
    <cellStyle name="Accent3 - 20% 9" xfId="4034" xr:uid="{00000000-0005-0000-0000-0000C20F0000}"/>
    <cellStyle name="Accent3 - 20% 9 2" xfId="4035" xr:uid="{00000000-0005-0000-0000-0000C30F0000}"/>
    <cellStyle name="Accent3 - 40%" xfId="4036" xr:uid="{00000000-0005-0000-0000-0000C40F0000}"/>
    <cellStyle name="Accent3 - 40% 10" xfId="4037" xr:uid="{00000000-0005-0000-0000-0000C50F0000}"/>
    <cellStyle name="Accent3 - 40% 11" xfId="4038" xr:uid="{00000000-0005-0000-0000-0000C60F0000}"/>
    <cellStyle name="Accent3 - 40% 2" xfId="4039" xr:uid="{00000000-0005-0000-0000-0000C70F0000}"/>
    <cellStyle name="Accent3 - 40% 2 2" xfId="4040" xr:uid="{00000000-0005-0000-0000-0000C80F0000}"/>
    <cellStyle name="Accent3 - 40% 2 2 2" xfId="4041" xr:uid="{00000000-0005-0000-0000-0000C90F0000}"/>
    <cellStyle name="Accent3 - 40% 2 2 2 2" xfId="4042" xr:uid="{00000000-0005-0000-0000-0000CA0F0000}"/>
    <cellStyle name="Accent3 - 40% 2 2 3" xfId="4043" xr:uid="{00000000-0005-0000-0000-0000CB0F0000}"/>
    <cellStyle name="Accent3 - 40% 2 3" xfId="4044" xr:uid="{00000000-0005-0000-0000-0000CC0F0000}"/>
    <cellStyle name="Accent3 - 40% 2 3 2" xfId="4045" xr:uid="{00000000-0005-0000-0000-0000CD0F0000}"/>
    <cellStyle name="Accent3 - 40% 2 3 2 2" xfId="4046" xr:uid="{00000000-0005-0000-0000-0000CE0F0000}"/>
    <cellStyle name="Accent3 - 40% 2 3 2 2 2" xfId="4047" xr:uid="{00000000-0005-0000-0000-0000CF0F0000}"/>
    <cellStyle name="Accent3 - 40% 2 3 2 3" xfId="4048" xr:uid="{00000000-0005-0000-0000-0000D00F0000}"/>
    <cellStyle name="Accent3 - 40% 2 3 3" xfId="4049" xr:uid="{00000000-0005-0000-0000-0000D10F0000}"/>
    <cellStyle name="Accent3 - 40% 2 3 3 2" xfId="4050" xr:uid="{00000000-0005-0000-0000-0000D20F0000}"/>
    <cellStyle name="Accent3 - 40% 2 3 4" xfId="4051" xr:uid="{00000000-0005-0000-0000-0000D30F0000}"/>
    <cellStyle name="Accent3 - 40% 2 4" xfId="4052" xr:uid="{00000000-0005-0000-0000-0000D40F0000}"/>
    <cellStyle name="Accent3 - 40% 2 4 2" xfId="4053" xr:uid="{00000000-0005-0000-0000-0000D50F0000}"/>
    <cellStyle name="Accent3 - 40% 2 4 2 2" xfId="4054" xr:uid="{00000000-0005-0000-0000-0000D60F0000}"/>
    <cellStyle name="Accent3 - 40% 2 4 2 2 2" xfId="4055" xr:uid="{00000000-0005-0000-0000-0000D70F0000}"/>
    <cellStyle name="Accent3 - 40% 2 4 2 3" xfId="4056" xr:uid="{00000000-0005-0000-0000-0000D80F0000}"/>
    <cellStyle name="Accent3 - 40% 2 4 3" xfId="4057" xr:uid="{00000000-0005-0000-0000-0000D90F0000}"/>
    <cellStyle name="Accent3 - 40% 2 4 3 2" xfId="4058" xr:uid="{00000000-0005-0000-0000-0000DA0F0000}"/>
    <cellStyle name="Accent3 - 40% 2 4 4" xfId="4059" xr:uid="{00000000-0005-0000-0000-0000DB0F0000}"/>
    <cellStyle name="Accent3 - 40% 2 5" xfId="4060" xr:uid="{00000000-0005-0000-0000-0000DC0F0000}"/>
    <cellStyle name="Accent3 - 40% 2 5 2" xfId="4061" xr:uid="{00000000-0005-0000-0000-0000DD0F0000}"/>
    <cellStyle name="Accent3 - 40% 2 6" xfId="4062" xr:uid="{00000000-0005-0000-0000-0000DE0F0000}"/>
    <cellStyle name="Accent3 - 40% 2 6 2" xfId="4063" xr:uid="{00000000-0005-0000-0000-0000DF0F0000}"/>
    <cellStyle name="Accent3 - 40% 2 7" xfId="4064" xr:uid="{00000000-0005-0000-0000-0000E00F0000}"/>
    <cellStyle name="Accent3 - 40% 3" xfId="4065" xr:uid="{00000000-0005-0000-0000-0000E10F0000}"/>
    <cellStyle name="Accent3 - 40% 3 2" xfId="4066" xr:uid="{00000000-0005-0000-0000-0000E20F0000}"/>
    <cellStyle name="Accent3 - 40% 3 2 2" xfId="4067" xr:uid="{00000000-0005-0000-0000-0000E30F0000}"/>
    <cellStyle name="Accent3 - 40% 3 2 2 2" xfId="4068" xr:uid="{00000000-0005-0000-0000-0000E40F0000}"/>
    <cellStyle name="Accent3 - 40% 3 2 3" xfId="4069" xr:uid="{00000000-0005-0000-0000-0000E50F0000}"/>
    <cellStyle name="Accent3 - 40% 3 3" xfId="4070" xr:uid="{00000000-0005-0000-0000-0000E60F0000}"/>
    <cellStyle name="Accent3 - 40% 3 3 2" xfId="4071" xr:uid="{00000000-0005-0000-0000-0000E70F0000}"/>
    <cellStyle name="Accent3 - 40% 3 4" xfId="4072" xr:uid="{00000000-0005-0000-0000-0000E80F0000}"/>
    <cellStyle name="Accent3 - 40% 4" xfId="4073" xr:uid="{00000000-0005-0000-0000-0000E90F0000}"/>
    <cellStyle name="Accent3 - 40% 4 2" xfId="4074" xr:uid="{00000000-0005-0000-0000-0000EA0F0000}"/>
    <cellStyle name="Accent3 - 40% 4 2 2" xfId="4075" xr:uid="{00000000-0005-0000-0000-0000EB0F0000}"/>
    <cellStyle name="Accent3 - 40% 4 3" xfId="4076" xr:uid="{00000000-0005-0000-0000-0000EC0F0000}"/>
    <cellStyle name="Accent3 - 40% 5" xfId="4077" xr:uid="{00000000-0005-0000-0000-0000ED0F0000}"/>
    <cellStyle name="Accent3 - 40% 5 2" xfId="4078" xr:uid="{00000000-0005-0000-0000-0000EE0F0000}"/>
    <cellStyle name="Accent3 - 40% 5 2 2" xfId="4079" xr:uid="{00000000-0005-0000-0000-0000EF0F0000}"/>
    <cellStyle name="Accent3 - 40% 5 3" xfId="4080" xr:uid="{00000000-0005-0000-0000-0000F00F0000}"/>
    <cellStyle name="Accent3 - 40% 6" xfId="4081" xr:uid="{00000000-0005-0000-0000-0000F10F0000}"/>
    <cellStyle name="Accent3 - 40% 6 2" xfId="4082" xr:uid="{00000000-0005-0000-0000-0000F20F0000}"/>
    <cellStyle name="Accent3 - 40% 7" xfId="4083" xr:uid="{00000000-0005-0000-0000-0000F30F0000}"/>
    <cellStyle name="Accent3 - 40% 7 2" xfId="4084" xr:uid="{00000000-0005-0000-0000-0000F40F0000}"/>
    <cellStyle name="Accent3 - 40% 8" xfId="4085" xr:uid="{00000000-0005-0000-0000-0000F50F0000}"/>
    <cellStyle name="Accent3 - 40% 8 2" xfId="4086" xr:uid="{00000000-0005-0000-0000-0000F60F0000}"/>
    <cellStyle name="Accent3 - 40% 9" xfId="4087" xr:uid="{00000000-0005-0000-0000-0000F70F0000}"/>
    <cellStyle name="Accent3 - 40% 9 2" xfId="4088" xr:uid="{00000000-0005-0000-0000-0000F80F0000}"/>
    <cellStyle name="Accent3 - 60%" xfId="4089" xr:uid="{00000000-0005-0000-0000-0000F90F0000}"/>
    <cellStyle name="Accent3 - 60% 10" xfId="4090" xr:uid="{00000000-0005-0000-0000-0000FA0F0000}"/>
    <cellStyle name="Accent3 - 60% 2" xfId="4091" xr:uid="{00000000-0005-0000-0000-0000FB0F0000}"/>
    <cellStyle name="Accent3 - 60% 2 2" xfId="4092" xr:uid="{00000000-0005-0000-0000-0000FC0F0000}"/>
    <cellStyle name="Accent3 - 60% 2 2 2" xfId="4093" xr:uid="{00000000-0005-0000-0000-0000FD0F0000}"/>
    <cellStyle name="Accent3 - 60% 2 3" xfId="4094" xr:uid="{00000000-0005-0000-0000-0000FE0F0000}"/>
    <cellStyle name="Accent3 - 60% 2 3 2" xfId="4095" xr:uid="{00000000-0005-0000-0000-0000FF0F0000}"/>
    <cellStyle name="Accent3 - 60% 2 3 2 2" xfId="4096" xr:uid="{00000000-0005-0000-0000-000000100000}"/>
    <cellStyle name="Accent3 - 60% 2 3 3" xfId="4097" xr:uid="{00000000-0005-0000-0000-000001100000}"/>
    <cellStyle name="Accent3 - 60% 2 4" xfId="4098" xr:uid="{00000000-0005-0000-0000-000002100000}"/>
    <cellStyle name="Accent3 - 60% 2 4 2" xfId="4099" xr:uid="{00000000-0005-0000-0000-000003100000}"/>
    <cellStyle name="Accent3 - 60% 2 4 2 2" xfId="4100" xr:uid="{00000000-0005-0000-0000-000004100000}"/>
    <cellStyle name="Accent3 - 60% 2 4 3" xfId="4101" xr:uid="{00000000-0005-0000-0000-000005100000}"/>
    <cellStyle name="Accent3 - 60% 2 5" xfId="4102" xr:uid="{00000000-0005-0000-0000-000006100000}"/>
    <cellStyle name="Accent3 - 60% 3" xfId="4103" xr:uid="{00000000-0005-0000-0000-000007100000}"/>
    <cellStyle name="Accent3 - 60% 3 2" xfId="4104" xr:uid="{00000000-0005-0000-0000-000008100000}"/>
    <cellStyle name="Accent3 - 60% 3 2 2" xfId="4105" xr:uid="{00000000-0005-0000-0000-000009100000}"/>
    <cellStyle name="Accent3 - 60% 3 3" xfId="4106" xr:uid="{00000000-0005-0000-0000-00000A100000}"/>
    <cellStyle name="Accent3 - 60% 4" xfId="4107" xr:uid="{00000000-0005-0000-0000-00000B100000}"/>
    <cellStyle name="Accent3 - 60% 4 2" xfId="4108" xr:uid="{00000000-0005-0000-0000-00000C100000}"/>
    <cellStyle name="Accent3 - 60% 5" xfId="4109" xr:uid="{00000000-0005-0000-0000-00000D100000}"/>
    <cellStyle name="Accent3 - 60% 5 2" xfId="4110" xr:uid="{00000000-0005-0000-0000-00000E100000}"/>
    <cellStyle name="Accent3 - 60% 6" xfId="4111" xr:uid="{00000000-0005-0000-0000-00000F100000}"/>
    <cellStyle name="Accent3 - 60% 6 2" xfId="4112" xr:uid="{00000000-0005-0000-0000-000010100000}"/>
    <cellStyle name="Accent3 - 60% 6 2 2" xfId="4113" xr:uid="{00000000-0005-0000-0000-000011100000}"/>
    <cellStyle name="Accent3 - 60% 6 3" xfId="4114" xr:uid="{00000000-0005-0000-0000-000012100000}"/>
    <cellStyle name="Accent3 - 60% 7" xfId="4115" xr:uid="{00000000-0005-0000-0000-000013100000}"/>
    <cellStyle name="Accent3 - 60% 7 2" xfId="4116" xr:uid="{00000000-0005-0000-0000-000014100000}"/>
    <cellStyle name="Accent3 - 60% 8" xfId="4117" xr:uid="{00000000-0005-0000-0000-000015100000}"/>
    <cellStyle name="Accent3 - 60% 8 2" xfId="4118" xr:uid="{00000000-0005-0000-0000-000016100000}"/>
    <cellStyle name="Accent3 - 60% 9" xfId="4119" xr:uid="{00000000-0005-0000-0000-000017100000}"/>
    <cellStyle name="Accent3 10" xfId="4120" xr:uid="{00000000-0005-0000-0000-000018100000}"/>
    <cellStyle name="Accent3 10 2" xfId="4121" xr:uid="{00000000-0005-0000-0000-000019100000}"/>
    <cellStyle name="Accent3 10 2 2" xfId="4122" xr:uid="{00000000-0005-0000-0000-00001A100000}"/>
    <cellStyle name="Accent3 10 3" xfId="4123" xr:uid="{00000000-0005-0000-0000-00001B100000}"/>
    <cellStyle name="Accent3 100" xfId="4124" xr:uid="{00000000-0005-0000-0000-00001C100000}"/>
    <cellStyle name="Accent3 100 2" xfId="4125" xr:uid="{00000000-0005-0000-0000-00001D100000}"/>
    <cellStyle name="Accent3 100 2 2" xfId="4126" xr:uid="{00000000-0005-0000-0000-00001E100000}"/>
    <cellStyle name="Accent3 100 3" xfId="4127" xr:uid="{00000000-0005-0000-0000-00001F100000}"/>
    <cellStyle name="Accent3 101" xfId="4128" xr:uid="{00000000-0005-0000-0000-000020100000}"/>
    <cellStyle name="Accent3 101 2" xfId="4129" xr:uid="{00000000-0005-0000-0000-000021100000}"/>
    <cellStyle name="Accent3 101 2 2" xfId="4130" xr:uid="{00000000-0005-0000-0000-000022100000}"/>
    <cellStyle name="Accent3 101 3" xfId="4131" xr:uid="{00000000-0005-0000-0000-000023100000}"/>
    <cellStyle name="Accent3 102" xfId="4132" xr:uid="{00000000-0005-0000-0000-000024100000}"/>
    <cellStyle name="Accent3 102 2" xfId="4133" xr:uid="{00000000-0005-0000-0000-000025100000}"/>
    <cellStyle name="Accent3 103" xfId="4134" xr:uid="{00000000-0005-0000-0000-000026100000}"/>
    <cellStyle name="Accent3 103 2" xfId="4135" xr:uid="{00000000-0005-0000-0000-000027100000}"/>
    <cellStyle name="Accent3 104" xfId="4136" xr:uid="{00000000-0005-0000-0000-000028100000}"/>
    <cellStyle name="Accent3 104 2" xfId="4137" xr:uid="{00000000-0005-0000-0000-000029100000}"/>
    <cellStyle name="Accent3 104 2 2" xfId="4138" xr:uid="{00000000-0005-0000-0000-00002A100000}"/>
    <cellStyle name="Accent3 104 3" xfId="4139" xr:uid="{00000000-0005-0000-0000-00002B100000}"/>
    <cellStyle name="Accent3 105" xfId="4140" xr:uid="{00000000-0005-0000-0000-00002C100000}"/>
    <cellStyle name="Accent3 105 2" xfId="4141" xr:uid="{00000000-0005-0000-0000-00002D100000}"/>
    <cellStyle name="Accent3 105 2 2" xfId="4142" xr:uid="{00000000-0005-0000-0000-00002E100000}"/>
    <cellStyle name="Accent3 105 3" xfId="4143" xr:uid="{00000000-0005-0000-0000-00002F100000}"/>
    <cellStyle name="Accent3 106" xfId="4144" xr:uid="{00000000-0005-0000-0000-000030100000}"/>
    <cellStyle name="Accent3 106 2" xfId="4145" xr:uid="{00000000-0005-0000-0000-000031100000}"/>
    <cellStyle name="Accent3 106 2 2" xfId="4146" xr:uid="{00000000-0005-0000-0000-000032100000}"/>
    <cellStyle name="Accent3 106 3" xfId="4147" xr:uid="{00000000-0005-0000-0000-000033100000}"/>
    <cellStyle name="Accent3 107" xfId="4148" xr:uid="{00000000-0005-0000-0000-000034100000}"/>
    <cellStyle name="Accent3 107 2" xfId="4149" xr:uid="{00000000-0005-0000-0000-000035100000}"/>
    <cellStyle name="Accent3 107 2 2" xfId="4150" xr:uid="{00000000-0005-0000-0000-000036100000}"/>
    <cellStyle name="Accent3 107 3" xfId="4151" xr:uid="{00000000-0005-0000-0000-000037100000}"/>
    <cellStyle name="Accent3 108" xfId="4152" xr:uid="{00000000-0005-0000-0000-000038100000}"/>
    <cellStyle name="Accent3 108 2" xfId="4153" xr:uid="{00000000-0005-0000-0000-000039100000}"/>
    <cellStyle name="Accent3 108 2 2" xfId="4154" xr:uid="{00000000-0005-0000-0000-00003A100000}"/>
    <cellStyle name="Accent3 108 3" xfId="4155" xr:uid="{00000000-0005-0000-0000-00003B100000}"/>
    <cellStyle name="Accent3 109" xfId="4156" xr:uid="{00000000-0005-0000-0000-00003C100000}"/>
    <cellStyle name="Accent3 109 2" xfId="4157" xr:uid="{00000000-0005-0000-0000-00003D100000}"/>
    <cellStyle name="Accent3 109 2 2" xfId="4158" xr:uid="{00000000-0005-0000-0000-00003E100000}"/>
    <cellStyle name="Accent3 109 3" xfId="4159" xr:uid="{00000000-0005-0000-0000-00003F100000}"/>
    <cellStyle name="Accent3 11" xfId="4160" xr:uid="{00000000-0005-0000-0000-000040100000}"/>
    <cellStyle name="Accent3 11 2" xfId="4161" xr:uid="{00000000-0005-0000-0000-000041100000}"/>
    <cellStyle name="Accent3 11 2 2" xfId="4162" xr:uid="{00000000-0005-0000-0000-000042100000}"/>
    <cellStyle name="Accent3 11 3" xfId="4163" xr:uid="{00000000-0005-0000-0000-000043100000}"/>
    <cellStyle name="Accent3 110" xfId="4164" xr:uid="{00000000-0005-0000-0000-000044100000}"/>
    <cellStyle name="Accent3 110 2" xfId="4165" xr:uid="{00000000-0005-0000-0000-000045100000}"/>
    <cellStyle name="Accent3 110 2 2" xfId="4166" xr:uid="{00000000-0005-0000-0000-000046100000}"/>
    <cellStyle name="Accent3 110 3" xfId="4167" xr:uid="{00000000-0005-0000-0000-000047100000}"/>
    <cellStyle name="Accent3 111" xfId="4168" xr:uid="{00000000-0005-0000-0000-000048100000}"/>
    <cellStyle name="Accent3 111 2" xfId="4169" xr:uid="{00000000-0005-0000-0000-000049100000}"/>
    <cellStyle name="Accent3 111 2 2" xfId="4170" xr:uid="{00000000-0005-0000-0000-00004A100000}"/>
    <cellStyle name="Accent3 111 3" xfId="4171" xr:uid="{00000000-0005-0000-0000-00004B100000}"/>
    <cellStyle name="Accent3 112" xfId="4172" xr:uid="{00000000-0005-0000-0000-00004C100000}"/>
    <cellStyle name="Accent3 112 2" xfId="4173" xr:uid="{00000000-0005-0000-0000-00004D100000}"/>
    <cellStyle name="Accent3 112 2 2" xfId="4174" xr:uid="{00000000-0005-0000-0000-00004E100000}"/>
    <cellStyle name="Accent3 112 3" xfId="4175" xr:uid="{00000000-0005-0000-0000-00004F100000}"/>
    <cellStyle name="Accent3 113" xfId="4176" xr:uid="{00000000-0005-0000-0000-000050100000}"/>
    <cellStyle name="Accent3 113 2" xfId="4177" xr:uid="{00000000-0005-0000-0000-000051100000}"/>
    <cellStyle name="Accent3 113 2 2" xfId="4178" xr:uid="{00000000-0005-0000-0000-000052100000}"/>
    <cellStyle name="Accent3 113 3" xfId="4179" xr:uid="{00000000-0005-0000-0000-000053100000}"/>
    <cellStyle name="Accent3 114" xfId="4180" xr:uid="{00000000-0005-0000-0000-000054100000}"/>
    <cellStyle name="Accent3 114 2" xfId="4181" xr:uid="{00000000-0005-0000-0000-000055100000}"/>
    <cellStyle name="Accent3 115" xfId="4182" xr:uid="{00000000-0005-0000-0000-000056100000}"/>
    <cellStyle name="Accent3 115 2" xfId="4183" xr:uid="{00000000-0005-0000-0000-000057100000}"/>
    <cellStyle name="Accent3 116" xfId="4184" xr:uid="{00000000-0005-0000-0000-000058100000}"/>
    <cellStyle name="Accent3 116 2" xfId="4185" xr:uid="{00000000-0005-0000-0000-000059100000}"/>
    <cellStyle name="Accent3 117" xfId="4186" xr:uid="{00000000-0005-0000-0000-00005A100000}"/>
    <cellStyle name="Accent3 117 2" xfId="4187" xr:uid="{00000000-0005-0000-0000-00005B100000}"/>
    <cellStyle name="Accent3 118" xfId="4188" xr:uid="{00000000-0005-0000-0000-00005C100000}"/>
    <cellStyle name="Accent3 118 2" xfId="4189" xr:uid="{00000000-0005-0000-0000-00005D100000}"/>
    <cellStyle name="Accent3 119" xfId="4190" xr:uid="{00000000-0005-0000-0000-00005E100000}"/>
    <cellStyle name="Accent3 119 2" xfId="4191" xr:uid="{00000000-0005-0000-0000-00005F100000}"/>
    <cellStyle name="Accent3 12" xfId="4192" xr:uid="{00000000-0005-0000-0000-000060100000}"/>
    <cellStyle name="Accent3 12 2" xfId="4193" xr:uid="{00000000-0005-0000-0000-000061100000}"/>
    <cellStyle name="Accent3 12 2 2" xfId="4194" xr:uid="{00000000-0005-0000-0000-000062100000}"/>
    <cellStyle name="Accent3 12 3" xfId="4195" xr:uid="{00000000-0005-0000-0000-000063100000}"/>
    <cellStyle name="Accent3 120" xfId="4196" xr:uid="{00000000-0005-0000-0000-000064100000}"/>
    <cellStyle name="Accent3 120 2" xfId="4197" xr:uid="{00000000-0005-0000-0000-000065100000}"/>
    <cellStyle name="Accent3 121" xfId="4198" xr:uid="{00000000-0005-0000-0000-000066100000}"/>
    <cellStyle name="Accent3 121 2" xfId="4199" xr:uid="{00000000-0005-0000-0000-000067100000}"/>
    <cellStyle name="Accent3 122" xfId="4200" xr:uid="{00000000-0005-0000-0000-000068100000}"/>
    <cellStyle name="Accent3 122 2" xfId="4201" xr:uid="{00000000-0005-0000-0000-000069100000}"/>
    <cellStyle name="Accent3 123" xfId="4202" xr:uid="{00000000-0005-0000-0000-00006A100000}"/>
    <cellStyle name="Accent3 123 2" xfId="4203" xr:uid="{00000000-0005-0000-0000-00006B100000}"/>
    <cellStyle name="Accent3 124" xfId="4204" xr:uid="{00000000-0005-0000-0000-00006C100000}"/>
    <cellStyle name="Accent3 124 2" xfId="4205" xr:uid="{00000000-0005-0000-0000-00006D100000}"/>
    <cellStyle name="Accent3 125" xfId="4206" xr:uid="{00000000-0005-0000-0000-00006E100000}"/>
    <cellStyle name="Accent3 125 2" xfId="4207" xr:uid="{00000000-0005-0000-0000-00006F100000}"/>
    <cellStyle name="Accent3 126" xfId="4208" xr:uid="{00000000-0005-0000-0000-000070100000}"/>
    <cellStyle name="Accent3 127" xfId="4209" xr:uid="{00000000-0005-0000-0000-000071100000}"/>
    <cellStyle name="Accent3 128" xfId="4210" xr:uid="{00000000-0005-0000-0000-000072100000}"/>
    <cellStyle name="Accent3 129" xfId="4211" xr:uid="{00000000-0005-0000-0000-000073100000}"/>
    <cellStyle name="Accent3 13" xfId="4212" xr:uid="{00000000-0005-0000-0000-000074100000}"/>
    <cellStyle name="Accent3 13 2" xfId="4213" xr:uid="{00000000-0005-0000-0000-000075100000}"/>
    <cellStyle name="Accent3 13 2 2" xfId="4214" xr:uid="{00000000-0005-0000-0000-000076100000}"/>
    <cellStyle name="Accent3 13 3" xfId="4215" xr:uid="{00000000-0005-0000-0000-000077100000}"/>
    <cellStyle name="Accent3 130" xfId="4216" xr:uid="{00000000-0005-0000-0000-000078100000}"/>
    <cellStyle name="Accent3 131" xfId="4217" xr:uid="{00000000-0005-0000-0000-000079100000}"/>
    <cellStyle name="Accent3 132" xfId="4218" xr:uid="{00000000-0005-0000-0000-00007A100000}"/>
    <cellStyle name="Accent3 133" xfId="4219" xr:uid="{00000000-0005-0000-0000-00007B100000}"/>
    <cellStyle name="Accent3 134" xfId="4220" xr:uid="{00000000-0005-0000-0000-00007C100000}"/>
    <cellStyle name="Accent3 135" xfId="4221" xr:uid="{00000000-0005-0000-0000-00007D100000}"/>
    <cellStyle name="Accent3 136" xfId="4222" xr:uid="{00000000-0005-0000-0000-00007E100000}"/>
    <cellStyle name="Accent3 137" xfId="4223" xr:uid="{00000000-0005-0000-0000-00007F100000}"/>
    <cellStyle name="Accent3 138" xfId="4224" xr:uid="{00000000-0005-0000-0000-000080100000}"/>
    <cellStyle name="Accent3 139" xfId="4225" xr:uid="{00000000-0005-0000-0000-000081100000}"/>
    <cellStyle name="Accent3 14" xfId="4226" xr:uid="{00000000-0005-0000-0000-000082100000}"/>
    <cellStyle name="Accent3 14 2" xfId="4227" xr:uid="{00000000-0005-0000-0000-000083100000}"/>
    <cellStyle name="Accent3 14 2 2" xfId="4228" xr:uid="{00000000-0005-0000-0000-000084100000}"/>
    <cellStyle name="Accent3 14 3" xfId="4229" xr:uid="{00000000-0005-0000-0000-000085100000}"/>
    <cellStyle name="Accent3 140" xfId="4230" xr:uid="{00000000-0005-0000-0000-000086100000}"/>
    <cellStyle name="Accent3 141" xfId="4231" xr:uid="{00000000-0005-0000-0000-000087100000}"/>
    <cellStyle name="Accent3 142" xfId="4232" xr:uid="{00000000-0005-0000-0000-000088100000}"/>
    <cellStyle name="Accent3 143" xfId="4233" xr:uid="{00000000-0005-0000-0000-000089100000}"/>
    <cellStyle name="Accent3 144" xfId="4234" xr:uid="{00000000-0005-0000-0000-00008A100000}"/>
    <cellStyle name="Accent3 145" xfId="4235" xr:uid="{00000000-0005-0000-0000-00008B100000}"/>
    <cellStyle name="Accent3 146" xfId="4236" xr:uid="{00000000-0005-0000-0000-00008C100000}"/>
    <cellStyle name="Accent3 147" xfId="4237" xr:uid="{00000000-0005-0000-0000-00008D100000}"/>
    <cellStyle name="Accent3 148" xfId="4238" xr:uid="{00000000-0005-0000-0000-00008E100000}"/>
    <cellStyle name="Accent3 149" xfId="4239" xr:uid="{00000000-0005-0000-0000-00008F100000}"/>
    <cellStyle name="Accent3 15" xfId="4240" xr:uid="{00000000-0005-0000-0000-000090100000}"/>
    <cellStyle name="Accent3 15 2" xfId="4241" xr:uid="{00000000-0005-0000-0000-000091100000}"/>
    <cellStyle name="Accent3 15 2 2" xfId="4242" xr:uid="{00000000-0005-0000-0000-000092100000}"/>
    <cellStyle name="Accent3 15 3" xfId="4243" xr:uid="{00000000-0005-0000-0000-000093100000}"/>
    <cellStyle name="Accent3 150" xfId="4244" xr:uid="{00000000-0005-0000-0000-000094100000}"/>
    <cellStyle name="Accent3 151" xfId="4245" xr:uid="{00000000-0005-0000-0000-000095100000}"/>
    <cellStyle name="Accent3 152" xfId="4246" xr:uid="{00000000-0005-0000-0000-000096100000}"/>
    <cellStyle name="Accent3 153" xfId="4247" xr:uid="{00000000-0005-0000-0000-000097100000}"/>
    <cellStyle name="Accent3 154" xfId="4248" xr:uid="{00000000-0005-0000-0000-000098100000}"/>
    <cellStyle name="Accent3 155" xfId="4249" xr:uid="{00000000-0005-0000-0000-000099100000}"/>
    <cellStyle name="Accent3 156" xfId="4250" xr:uid="{00000000-0005-0000-0000-00009A100000}"/>
    <cellStyle name="Accent3 157" xfId="4251" xr:uid="{00000000-0005-0000-0000-00009B100000}"/>
    <cellStyle name="Accent3 158" xfId="4252" xr:uid="{00000000-0005-0000-0000-00009C100000}"/>
    <cellStyle name="Accent3 159" xfId="4253" xr:uid="{00000000-0005-0000-0000-00009D100000}"/>
    <cellStyle name="Accent3 16" xfId="4254" xr:uid="{00000000-0005-0000-0000-00009E100000}"/>
    <cellStyle name="Accent3 16 2" xfId="4255" xr:uid="{00000000-0005-0000-0000-00009F100000}"/>
    <cellStyle name="Accent3 16 2 2" xfId="4256" xr:uid="{00000000-0005-0000-0000-0000A0100000}"/>
    <cellStyle name="Accent3 16 3" xfId="4257" xr:uid="{00000000-0005-0000-0000-0000A1100000}"/>
    <cellStyle name="Accent3 160" xfId="4258" xr:uid="{00000000-0005-0000-0000-0000A2100000}"/>
    <cellStyle name="Accent3 161" xfId="4259" xr:uid="{00000000-0005-0000-0000-0000A3100000}"/>
    <cellStyle name="Accent3 162" xfId="4260" xr:uid="{00000000-0005-0000-0000-0000A4100000}"/>
    <cellStyle name="Accent3 163" xfId="4261" xr:uid="{00000000-0005-0000-0000-0000A5100000}"/>
    <cellStyle name="Accent3 164" xfId="4262" xr:uid="{00000000-0005-0000-0000-0000A6100000}"/>
    <cellStyle name="Accent3 165" xfId="4263" xr:uid="{00000000-0005-0000-0000-0000A7100000}"/>
    <cellStyle name="Accent3 166" xfId="4264" xr:uid="{00000000-0005-0000-0000-0000A8100000}"/>
    <cellStyle name="Accent3 167" xfId="4265" xr:uid="{00000000-0005-0000-0000-0000A9100000}"/>
    <cellStyle name="Accent3 168" xfId="4266" xr:uid="{00000000-0005-0000-0000-0000AA100000}"/>
    <cellStyle name="Accent3 169" xfId="4267" xr:uid="{00000000-0005-0000-0000-0000AB100000}"/>
    <cellStyle name="Accent3 17" xfId="4268" xr:uid="{00000000-0005-0000-0000-0000AC100000}"/>
    <cellStyle name="Accent3 17 2" xfId="4269" xr:uid="{00000000-0005-0000-0000-0000AD100000}"/>
    <cellStyle name="Accent3 17 2 2" xfId="4270" xr:uid="{00000000-0005-0000-0000-0000AE100000}"/>
    <cellStyle name="Accent3 17 3" xfId="4271" xr:uid="{00000000-0005-0000-0000-0000AF100000}"/>
    <cellStyle name="Accent3 170" xfId="4272" xr:uid="{00000000-0005-0000-0000-0000B0100000}"/>
    <cellStyle name="Accent3 171" xfId="4273" xr:uid="{00000000-0005-0000-0000-0000B1100000}"/>
    <cellStyle name="Accent3 172" xfId="4274" xr:uid="{00000000-0005-0000-0000-0000B2100000}"/>
    <cellStyle name="Accent3 173" xfId="4275" xr:uid="{00000000-0005-0000-0000-0000B3100000}"/>
    <cellStyle name="Accent3 174" xfId="4276" xr:uid="{00000000-0005-0000-0000-0000B4100000}"/>
    <cellStyle name="Accent3 175" xfId="4277" xr:uid="{00000000-0005-0000-0000-0000B5100000}"/>
    <cellStyle name="Accent3 176" xfId="4278" xr:uid="{00000000-0005-0000-0000-0000B6100000}"/>
    <cellStyle name="Accent3 177" xfId="4279" xr:uid="{00000000-0005-0000-0000-0000B7100000}"/>
    <cellStyle name="Accent3 178" xfId="4280" xr:uid="{00000000-0005-0000-0000-0000B8100000}"/>
    <cellStyle name="Accent3 179" xfId="4281" xr:uid="{00000000-0005-0000-0000-0000B9100000}"/>
    <cellStyle name="Accent3 18" xfId="4282" xr:uid="{00000000-0005-0000-0000-0000BA100000}"/>
    <cellStyle name="Accent3 18 2" xfId="4283" xr:uid="{00000000-0005-0000-0000-0000BB100000}"/>
    <cellStyle name="Accent3 18 2 2" xfId="4284" xr:uid="{00000000-0005-0000-0000-0000BC100000}"/>
    <cellStyle name="Accent3 18 3" xfId="4285" xr:uid="{00000000-0005-0000-0000-0000BD100000}"/>
    <cellStyle name="Accent3 19" xfId="4286" xr:uid="{00000000-0005-0000-0000-0000BE100000}"/>
    <cellStyle name="Accent3 19 2" xfId="4287" xr:uid="{00000000-0005-0000-0000-0000BF100000}"/>
    <cellStyle name="Accent3 19 2 2" xfId="4288" xr:uid="{00000000-0005-0000-0000-0000C0100000}"/>
    <cellStyle name="Accent3 19 3" xfId="4289" xr:uid="{00000000-0005-0000-0000-0000C1100000}"/>
    <cellStyle name="Accent3 2" xfId="4290" xr:uid="{00000000-0005-0000-0000-0000C2100000}"/>
    <cellStyle name="Accent3 2 10" xfId="4291" xr:uid="{00000000-0005-0000-0000-0000C3100000}"/>
    <cellStyle name="Accent3 2 10 2" xfId="4292" xr:uid="{00000000-0005-0000-0000-0000C4100000}"/>
    <cellStyle name="Accent3 2 11" xfId="4293" xr:uid="{00000000-0005-0000-0000-0000C5100000}"/>
    <cellStyle name="Accent3 2 12" xfId="4294" xr:uid="{00000000-0005-0000-0000-0000C6100000}"/>
    <cellStyle name="Accent3 2 2" xfId="4295" xr:uid="{00000000-0005-0000-0000-0000C7100000}"/>
    <cellStyle name="Accent3 2 2 2" xfId="4296" xr:uid="{00000000-0005-0000-0000-0000C8100000}"/>
    <cellStyle name="Accent3 2 2 2 2" xfId="4297" xr:uid="{00000000-0005-0000-0000-0000C9100000}"/>
    <cellStyle name="Accent3 2 2 3" xfId="4298" xr:uid="{00000000-0005-0000-0000-0000CA100000}"/>
    <cellStyle name="Accent3 2 2 3 2" xfId="4299" xr:uid="{00000000-0005-0000-0000-0000CB100000}"/>
    <cellStyle name="Accent3 2 2 3 2 2" xfId="4300" xr:uid="{00000000-0005-0000-0000-0000CC100000}"/>
    <cellStyle name="Accent3 2 2 3 3" xfId="4301" xr:uid="{00000000-0005-0000-0000-0000CD100000}"/>
    <cellStyle name="Accent3 2 2 4" xfId="4302" xr:uid="{00000000-0005-0000-0000-0000CE100000}"/>
    <cellStyle name="Accent3 2 3" xfId="4303" xr:uid="{00000000-0005-0000-0000-0000CF100000}"/>
    <cellStyle name="Accent3 2 3 2" xfId="4304" xr:uid="{00000000-0005-0000-0000-0000D0100000}"/>
    <cellStyle name="Accent3 2 3 2 2" xfId="4305" xr:uid="{00000000-0005-0000-0000-0000D1100000}"/>
    <cellStyle name="Accent3 2 3 3" xfId="4306" xr:uid="{00000000-0005-0000-0000-0000D2100000}"/>
    <cellStyle name="Accent3 2 3 3 2" xfId="4307" xr:uid="{00000000-0005-0000-0000-0000D3100000}"/>
    <cellStyle name="Accent3 2 3 3 2 2" xfId="4308" xr:uid="{00000000-0005-0000-0000-0000D4100000}"/>
    <cellStyle name="Accent3 2 3 3 3" xfId="4309" xr:uid="{00000000-0005-0000-0000-0000D5100000}"/>
    <cellStyle name="Accent3 2 3 4" xfId="4310" xr:uid="{00000000-0005-0000-0000-0000D6100000}"/>
    <cellStyle name="Accent3 2 4" xfId="4311" xr:uid="{00000000-0005-0000-0000-0000D7100000}"/>
    <cellStyle name="Accent3 2 4 2" xfId="4312" xr:uid="{00000000-0005-0000-0000-0000D8100000}"/>
    <cellStyle name="Accent3 2 4 2 2" xfId="4313" xr:uid="{00000000-0005-0000-0000-0000D9100000}"/>
    <cellStyle name="Accent3 2 4 3" xfId="4314" xr:uid="{00000000-0005-0000-0000-0000DA100000}"/>
    <cellStyle name="Accent3 2 5" xfId="4315" xr:uid="{00000000-0005-0000-0000-0000DB100000}"/>
    <cellStyle name="Accent3 2 5 2" xfId="4316" xr:uid="{00000000-0005-0000-0000-0000DC100000}"/>
    <cellStyle name="Accent3 2 5 2 2" xfId="4317" xr:uid="{00000000-0005-0000-0000-0000DD100000}"/>
    <cellStyle name="Accent3 2 5 3" xfId="4318" xr:uid="{00000000-0005-0000-0000-0000DE100000}"/>
    <cellStyle name="Accent3 2 5 3 2" xfId="4319" xr:uid="{00000000-0005-0000-0000-0000DF100000}"/>
    <cellStyle name="Accent3 2 5 3 2 2" xfId="4320" xr:uid="{00000000-0005-0000-0000-0000E0100000}"/>
    <cellStyle name="Accent3 2 5 3 3" xfId="4321" xr:uid="{00000000-0005-0000-0000-0000E1100000}"/>
    <cellStyle name="Accent3 2 5 4" xfId="4322" xr:uid="{00000000-0005-0000-0000-0000E2100000}"/>
    <cellStyle name="Accent3 2 6" xfId="4323" xr:uid="{00000000-0005-0000-0000-0000E3100000}"/>
    <cellStyle name="Accent3 2 6 2" xfId="4324" xr:uid="{00000000-0005-0000-0000-0000E4100000}"/>
    <cellStyle name="Accent3 2 6 2 2" xfId="4325" xr:uid="{00000000-0005-0000-0000-0000E5100000}"/>
    <cellStyle name="Accent3 2 6 3" xfId="4326" xr:uid="{00000000-0005-0000-0000-0000E6100000}"/>
    <cellStyle name="Accent3 2 6 3 2" xfId="4327" xr:uid="{00000000-0005-0000-0000-0000E7100000}"/>
    <cellStyle name="Accent3 2 6 4" xfId="4328" xr:uid="{00000000-0005-0000-0000-0000E8100000}"/>
    <cellStyle name="Accent3 2 7" xfId="4329" xr:uid="{00000000-0005-0000-0000-0000E9100000}"/>
    <cellStyle name="Accent3 2 7 2" xfId="4330" xr:uid="{00000000-0005-0000-0000-0000EA100000}"/>
    <cellStyle name="Accent3 2 8" xfId="4331" xr:uid="{00000000-0005-0000-0000-0000EB100000}"/>
    <cellStyle name="Accent3 2 8 2" xfId="4332" xr:uid="{00000000-0005-0000-0000-0000EC100000}"/>
    <cellStyle name="Accent3 2 8 2 2" xfId="4333" xr:uid="{00000000-0005-0000-0000-0000ED100000}"/>
    <cellStyle name="Accent3 2 8 3" xfId="4334" xr:uid="{00000000-0005-0000-0000-0000EE100000}"/>
    <cellStyle name="Accent3 2 9" xfId="4335" xr:uid="{00000000-0005-0000-0000-0000EF100000}"/>
    <cellStyle name="Accent3 2 9 2" xfId="4336" xr:uid="{00000000-0005-0000-0000-0000F0100000}"/>
    <cellStyle name="Accent3 2 9 2 2" xfId="4337" xr:uid="{00000000-0005-0000-0000-0000F1100000}"/>
    <cellStyle name="Accent3 2 9 3" xfId="4338" xr:uid="{00000000-0005-0000-0000-0000F2100000}"/>
    <cellStyle name="Accent3 20" xfId="4339" xr:uid="{00000000-0005-0000-0000-0000F3100000}"/>
    <cellStyle name="Accent3 20 2" xfId="4340" xr:uid="{00000000-0005-0000-0000-0000F4100000}"/>
    <cellStyle name="Accent3 20 2 2" xfId="4341" xr:uid="{00000000-0005-0000-0000-0000F5100000}"/>
    <cellStyle name="Accent3 20 3" xfId="4342" xr:uid="{00000000-0005-0000-0000-0000F6100000}"/>
    <cellStyle name="Accent3 21" xfId="4343" xr:uid="{00000000-0005-0000-0000-0000F7100000}"/>
    <cellStyle name="Accent3 21 2" xfId="4344" xr:uid="{00000000-0005-0000-0000-0000F8100000}"/>
    <cellStyle name="Accent3 21 2 2" xfId="4345" xr:uid="{00000000-0005-0000-0000-0000F9100000}"/>
    <cellStyle name="Accent3 21 3" xfId="4346" xr:uid="{00000000-0005-0000-0000-0000FA100000}"/>
    <cellStyle name="Accent3 22" xfId="4347" xr:uid="{00000000-0005-0000-0000-0000FB100000}"/>
    <cellStyle name="Accent3 22 2" xfId="4348" xr:uid="{00000000-0005-0000-0000-0000FC100000}"/>
    <cellStyle name="Accent3 22 2 2" xfId="4349" xr:uid="{00000000-0005-0000-0000-0000FD100000}"/>
    <cellStyle name="Accent3 22 3" xfId="4350" xr:uid="{00000000-0005-0000-0000-0000FE100000}"/>
    <cellStyle name="Accent3 23" xfId="4351" xr:uid="{00000000-0005-0000-0000-0000FF100000}"/>
    <cellStyle name="Accent3 23 2" xfId="4352" xr:uid="{00000000-0005-0000-0000-000000110000}"/>
    <cellStyle name="Accent3 23 2 2" xfId="4353" xr:uid="{00000000-0005-0000-0000-000001110000}"/>
    <cellStyle name="Accent3 23 3" xfId="4354" xr:uid="{00000000-0005-0000-0000-000002110000}"/>
    <cellStyle name="Accent3 24" xfId="4355" xr:uid="{00000000-0005-0000-0000-000003110000}"/>
    <cellStyle name="Accent3 24 2" xfId="4356" xr:uid="{00000000-0005-0000-0000-000004110000}"/>
    <cellStyle name="Accent3 24 2 2" xfId="4357" xr:uid="{00000000-0005-0000-0000-000005110000}"/>
    <cellStyle name="Accent3 24 3" xfId="4358" xr:uid="{00000000-0005-0000-0000-000006110000}"/>
    <cellStyle name="Accent3 25" xfId="4359" xr:uid="{00000000-0005-0000-0000-000007110000}"/>
    <cellStyle name="Accent3 25 2" xfId="4360" xr:uid="{00000000-0005-0000-0000-000008110000}"/>
    <cellStyle name="Accent3 25 2 2" xfId="4361" xr:uid="{00000000-0005-0000-0000-000009110000}"/>
    <cellStyle name="Accent3 25 3" xfId="4362" xr:uid="{00000000-0005-0000-0000-00000A110000}"/>
    <cellStyle name="Accent3 26" xfId="4363" xr:uid="{00000000-0005-0000-0000-00000B110000}"/>
    <cellStyle name="Accent3 26 2" xfId="4364" xr:uid="{00000000-0005-0000-0000-00000C110000}"/>
    <cellStyle name="Accent3 26 2 2" xfId="4365" xr:uid="{00000000-0005-0000-0000-00000D110000}"/>
    <cellStyle name="Accent3 26 3" xfId="4366" xr:uid="{00000000-0005-0000-0000-00000E110000}"/>
    <cellStyle name="Accent3 27" xfId="4367" xr:uid="{00000000-0005-0000-0000-00000F110000}"/>
    <cellStyle name="Accent3 27 2" xfId="4368" xr:uid="{00000000-0005-0000-0000-000010110000}"/>
    <cellStyle name="Accent3 27 2 2" xfId="4369" xr:uid="{00000000-0005-0000-0000-000011110000}"/>
    <cellStyle name="Accent3 27 3" xfId="4370" xr:uid="{00000000-0005-0000-0000-000012110000}"/>
    <cellStyle name="Accent3 28" xfId="4371" xr:uid="{00000000-0005-0000-0000-000013110000}"/>
    <cellStyle name="Accent3 28 2" xfId="4372" xr:uid="{00000000-0005-0000-0000-000014110000}"/>
    <cellStyle name="Accent3 28 2 2" xfId="4373" xr:uid="{00000000-0005-0000-0000-000015110000}"/>
    <cellStyle name="Accent3 28 3" xfId="4374" xr:uid="{00000000-0005-0000-0000-000016110000}"/>
    <cellStyle name="Accent3 29" xfId="4375" xr:uid="{00000000-0005-0000-0000-000017110000}"/>
    <cellStyle name="Accent3 29 2" xfId="4376" xr:uid="{00000000-0005-0000-0000-000018110000}"/>
    <cellStyle name="Accent3 29 2 2" xfId="4377" xr:uid="{00000000-0005-0000-0000-000019110000}"/>
    <cellStyle name="Accent3 29 3" xfId="4378" xr:uid="{00000000-0005-0000-0000-00001A110000}"/>
    <cellStyle name="Accent3 3" xfId="4379" xr:uid="{00000000-0005-0000-0000-00001B110000}"/>
    <cellStyle name="Accent3 3 10" xfId="4380" xr:uid="{00000000-0005-0000-0000-00001C110000}"/>
    <cellStyle name="Accent3 3 10 2" xfId="4381" xr:uid="{00000000-0005-0000-0000-00001D110000}"/>
    <cellStyle name="Accent3 3 10 2 2" xfId="4382" xr:uid="{00000000-0005-0000-0000-00001E110000}"/>
    <cellStyle name="Accent3 3 10 3" xfId="4383" xr:uid="{00000000-0005-0000-0000-00001F110000}"/>
    <cellStyle name="Accent3 3 11" xfId="4384" xr:uid="{00000000-0005-0000-0000-000020110000}"/>
    <cellStyle name="Accent3 3 11 2" xfId="4385" xr:uid="{00000000-0005-0000-0000-000021110000}"/>
    <cellStyle name="Accent3 3 12" xfId="4386" xr:uid="{00000000-0005-0000-0000-000022110000}"/>
    <cellStyle name="Accent3 3 2" xfId="4387" xr:uid="{00000000-0005-0000-0000-000023110000}"/>
    <cellStyle name="Accent3 3 2 2" xfId="4388" xr:uid="{00000000-0005-0000-0000-000024110000}"/>
    <cellStyle name="Accent3 3 2 2 2" xfId="4389" xr:uid="{00000000-0005-0000-0000-000025110000}"/>
    <cellStyle name="Accent3 3 2 3" xfId="4390" xr:uid="{00000000-0005-0000-0000-000026110000}"/>
    <cellStyle name="Accent3 3 2 3 2" xfId="4391" xr:uid="{00000000-0005-0000-0000-000027110000}"/>
    <cellStyle name="Accent3 3 2 3 2 2" xfId="4392" xr:uid="{00000000-0005-0000-0000-000028110000}"/>
    <cellStyle name="Accent3 3 2 3 3" xfId="4393" xr:uid="{00000000-0005-0000-0000-000029110000}"/>
    <cellStyle name="Accent3 3 2 4" xfId="4394" xr:uid="{00000000-0005-0000-0000-00002A110000}"/>
    <cellStyle name="Accent3 3 3" xfId="4395" xr:uid="{00000000-0005-0000-0000-00002B110000}"/>
    <cellStyle name="Accent3 3 3 2" xfId="4396" xr:uid="{00000000-0005-0000-0000-00002C110000}"/>
    <cellStyle name="Accent3 3 3 2 2" xfId="4397" xr:uid="{00000000-0005-0000-0000-00002D110000}"/>
    <cellStyle name="Accent3 3 3 3" xfId="4398" xr:uid="{00000000-0005-0000-0000-00002E110000}"/>
    <cellStyle name="Accent3 3 3 3 2" xfId="4399" xr:uid="{00000000-0005-0000-0000-00002F110000}"/>
    <cellStyle name="Accent3 3 3 3 2 2" xfId="4400" xr:uid="{00000000-0005-0000-0000-000030110000}"/>
    <cellStyle name="Accent3 3 3 3 3" xfId="4401" xr:uid="{00000000-0005-0000-0000-000031110000}"/>
    <cellStyle name="Accent3 3 3 4" xfId="4402" xr:uid="{00000000-0005-0000-0000-000032110000}"/>
    <cellStyle name="Accent3 3 4" xfId="4403" xr:uid="{00000000-0005-0000-0000-000033110000}"/>
    <cellStyle name="Accent3 3 4 2" xfId="4404" xr:uid="{00000000-0005-0000-0000-000034110000}"/>
    <cellStyle name="Accent3 3 4 2 2" xfId="4405" xr:uid="{00000000-0005-0000-0000-000035110000}"/>
    <cellStyle name="Accent3 3 4 3" xfId="4406" xr:uid="{00000000-0005-0000-0000-000036110000}"/>
    <cellStyle name="Accent3 3 5" xfId="4407" xr:uid="{00000000-0005-0000-0000-000037110000}"/>
    <cellStyle name="Accent3 3 5 2" xfId="4408" xr:uid="{00000000-0005-0000-0000-000038110000}"/>
    <cellStyle name="Accent3 3 5 2 2" xfId="4409" xr:uid="{00000000-0005-0000-0000-000039110000}"/>
    <cellStyle name="Accent3 3 5 3" xfId="4410" xr:uid="{00000000-0005-0000-0000-00003A110000}"/>
    <cellStyle name="Accent3 3 5 3 2" xfId="4411" xr:uid="{00000000-0005-0000-0000-00003B110000}"/>
    <cellStyle name="Accent3 3 5 3 2 2" xfId="4412" xr:uid="{00000000-0005-0000-0000-00003C110000}"/>
    <cellStyle name="Accent3 3 5 3 3" xfId="4413" xr:uid="{00000000-0005-0000-0000-00003D110000}"/>
    <cellStyle name="Accent3 3 5 4" xfId="4414" xr:uid="{00000000-0005-0000-0000-00003E110000}"/>
    <cellStyle name="Accent3 3 6" xfId="4415" xr:uid="{00000000-0005-0000-0000-00003F110000}"/>
    <cellStyle name="Accent3 3 6 2" xfId="4416" xr:uid="{00000000-0005-0000-0000-000040110000}"/>
    <cellStyle name="Accent3 3 7" xfId="4417" xr:uid="{00000000-0005-0000-0000-000041110000}"/>
    <cellStyle name="Accent3 3 7 2" xfId="4418" xr:uid="{00000000-0005-0000-0000-000042110000}"/>
    <cellStyle name="Accent3 3 8" xfId="4419" xr:uid="{00000000-0005-0000-0000-000043110000}"/>
    <cellStyle name="Accent3 3 8 2" xfId="4420" xr:uid="{00000000-0005-0000-0000-000044110000}"/>
    <cellStyle name="Accent3 3 8 2 2" xfId="4421" xr:uid="{00000000-0005-0000-0000-000045110000}"/>
    <cellStyle name="Accent3 3 8 3" xfId="4422" xr:uid="{00000000-0005-0000-0000-000046110000}"/>
    <cellStyle name="Accent3 3 9" xfId="4423" xr:uid="{00000000-0005-0000-0000-000047110000}"/>
    <cellStyle name="Accent3 3 9 2" xfId="4424" xr:uid="{00000000-0005-0000-0000-000048110000}"/>
    <cellStyle name="Accent3 3 9 2 2" xfId="4425" xr:uid="{00000000-0005-0000-0000-000049110000}"/>
    <cellStyle name="Accent3 3 9 3" xfId="4426" xr:uid="{00000000-0005-0000-0000-00004A110000}"/>
    <cellStyle name="Accent3 30" xfId="4427" xr:uid="{00000000-0005-0000-0000-00004B110000}"/>
    <cellStyle name="Accent3 30 2" xfId="4428" xr:uid="{00000000-0005-0000-0000-00004C110000}"/>
    <cellStyle name="Accent3 30 2 2" xfId="4429" xr:uid="{00000000-0005-0000-0000-00004D110000}"/>
    <cellStyle name="Accent3 30 3" xfId="4430" xr:uid="{00000000-0005-0000-0000-00004E110000}"/>
    <cellStyle name="Accent3 31" xfId="4431" xr:uid="{00000000-0005-0000-0000-00004F110000}"/>
    <cellStyle name="Accent3 31 2" xfId="4432" xr:uid="{00000000-0005-0000-0000-000050110000}"/>
    <cellStyle name="Accent3 31 2 2" xfId="4433" xr:uid="{00000000-0005-0000-0000-000051110000}"/>
    <cellStyle name="Accent3 31 3" xfId="4434" xr:uid="{00000000-0005-0000-0000-000052110000}"/>
    <cellStyle name="Accent3 32" xfId="4435" xr:uid="{00000000-0005-0000-0000-000053110000}"/>
    <cellStyle name="Accent3 32 2" xfId="4436" xr:uid="{00000000-0005-0000-0000-000054110000}"/>
    <cellStyle name="Accent3 32 2 2" xfId="4437" xr:uid="{00000000-0005-0000-0000-000055110000}"/>
    <cellStyle name="Accent3 32 3" xfId="4438" xr:uid="{00000000-0005-0000-0000-000056110000}"/>
    <cellStyle name="Accent3 33" xfId="4439" xr:uid="{00000000-0005-0000-0000-000057110000}"/>
    <cellStyle name="Accent3 33 2" xfId="4440" xr:uid="{00000000-0005-0000-0000-000058110000}"/>
    <cellStyle name="Accent3 33 2 2" xfId="4441" xr:uid="{00000000-0005-0000-0000-000059110000}"/>
    <cellStyle name="Accent3 33 3" xfId="4442" xr:uid="{00000000-0005-0000-0000-00005A110000}"/>
    <cellStyle name="Accent3 34" xfId="4443" xr:uid="{00000000-0005-0000-0000-00005B110000}"/>
    <cellStyle name="Accent3 34 2" xfId="4444" xr:uid="{00000000-0005-0000-0000-00005C110000}"/>
    <cellStyle name="Accent3 34 2 2" xfId="4445" xr:uid="{00000000-0005-0000-0000-00005D110000}"/>
    <cellStyle name="Accent3 34 3" xfId="4446" xr:uid="{00000000-0005-0000-0000-00005E110000}"/>
    <cellStyle name="Accent3 35" xfId="4447" xr:uid="{00000000-0005-0000-0000-00005F110000}"/>
    <cellStyle name="Accent3 35 2" xfId="4448" xr:uid="{00000000-0005-0000-0000-000060110000}"/>
    <cellStyle name="Accent3 35 2 2" xfId="4449" xr:uid="{00000000-0005-0000-0000-000061110000}"/>
    <cellStyle name="Accent3 35 3" xfId="4450" xr:uid="{00000000-0005-0000-0000-000062110000}"/>
    <cellStyle name="Accent3 36" xfId="4451" xr:uid="{00000000-0005-0000-0000-000063110000}"/>
    <cellStyle name="Accent3 36 2" xfId="4452" xr:uid="{00000000-0005-0000-0000-000064110000}"/>
    <cellStyle name="Accent3 36 2 2" xfId="4453" xr:uid="{00000000-0005-0000-0000-000065110000}"/>
    <cellStyle name="Accent3 36 3" xfId="4454" xr:uid="{00000000-0005-0000-0000-000066110000}"/>
    <cellStyle name="Accent3 37" xfId="4455" xr:uid="{00000000-0005-0000-0000-000067110000}"/>
    <cellStyle name="Accent3 37 2" xfId="4456" xr:uid="{00000000-0005-0000-0000-000068110000}"/>
    <cellStyle name="Accent3 37 2 2" xfId="4457" xr:uid="{00000000-0005-0000-0000-000069110000}"/>
    <cellStyle name="Accent3 37 3" xfId="4458" xr:uid="{00000000-0005-0000-0000-00006A110000}"/>
    <cellStyle name="Accent3 38" xfId="4459" xr:uid="{00000000-0005-0000-0000-00006B110000}"/>
    <cellStyle name="Accent3 38 2" xfId="4460" xr:uid="{00000000-0005-0000-0000-00006C110000}"/>
    <cellStyle name="Accent3 38 2 2" xfId="4461" xr:uid="{00000000-0005-0000-0000-00006D110000}"/>
    <cellStyle name="Accent3 38 3" xfId="4462" xr:uid="{00000000-0005-0000-0000-00006E110000}"/>
    <cellStyle name="Accent3 39" xfId="4463" xr:uid="{00000000-0005-0000-0000-00006F110000}"/>
    <cellStyle name="Accent3 39 2" xfId="4464" xr:uid="{00000000-0005-0000-0000-000070110000}"/>
    <cellStyle name="Accent3 39 2 2" xfId="4465" xr:uid="{00000000-0005-0000-0000-000071110000}"/>
    <cellStyle name="Accent3 39 3" xfId="4466" xr:uid="{00000000-0005-0000-0000-000072110000}"/>
    <cellStyle name="Accent3 4" xfId="4467" xr:uid="{00000000-0005-0000-0000-000073110000}"/>
    <cellStyle name="Accent3 4 2" xfId="4468" xr:uid="{00000000-0005-0000-0000-000074110000}"/>
    <cellStyle name="Accent3 4 2 2" xfId="4469" xr:uid="{00000000-0005-0000-0000-000075110000}"/>
    <cellStyle name="Accent3 4 2 2 2" xfId="4470" xr:uid="{00000000-0005-0000-0000-000076110000}"/>
    <cellStyle name="Accent3 4 2 3" xfId="4471" xr:uid="{00000000-0005-0000-0000-000077110000}"/>
    <cellStyle name="Accent3 4 2 3 2" xfId="4472" xr:uid="{00000000-0005-0000-0000-000078110000}"/>
    <cellStyle name="Accent3 4 2 3 2 2" xfId="4473" xr:uid="{00000000-0005-0000-0000-000079110000}"/>
    <cellStyle name="Accent3 4 2 3 3" xfId="4474" xr:uid="{00000000-0005-0000-0000-00007A110000}"/>
    <cellStyle name="Accent3 4 2 4" xfId="4475" xr:uid="{00000000-0005-0000-0000-00007B110000}"/>
    <cellStyle name="Accent3 4 3" xfId="4476" xr:uid="{00000000-0005-0000-0000-00007C110000}"/>
    <cellStyle name="Accent3 4 3 2" xfId="4477" xr:uid="{00000000-0005-0000-0000-00007D110000}"/>
    <cellStyle name="Accent3 4 3 2 2" xfId="4478" xr:uid="{00000000-0005-0000-0000-00007E110000}"/>
    <cellStyle name="Accent3 4 3 3" xfId="4479" xr:uid="{00000000-0005-0000-0000-00007F110000}"/>
    <cellStyle name="Accent3 4 3 3 2" xfId="4480" xr:uid="{00000000-0005-0000-0000-000080110000}"/>
    <cellStyle name="Accent3 4 3 3 2 2" xfId="4481" xr:uid="{00000000-0005-0000-0000-000081110000}"/>
    <cellStyle name="Accent3 4 3 3 3" xfId="4482" xr:uid="{00000000-0005-0000-0000-000082110000}"/>
    <cellStyle name="Accent3 4 3 4" xfId="4483" xr:uid="{00000000-0005-0000-0000-000083110000}"/>
    <cellStyle name="Accent3 4 4" xfId="4484" xr:uid="{00000000-0005-0000-0000-000084110000}"/>
    <cellStyle name="Accent3 4 4 2" xfId="4485" xr:uid="{00000000-0005-0000-0000-000085110000}"/>
    <cellStyle name="Accent3 4 4 2 2" xfId="4486" xr:uid="{00000000-0005-0000-0000-000086110000}"/>
    <cellStyle name="Accent3 4 4 3" xfId="4487" xr:uid="{00000000-0005-0000-0000-000087110000}"/>
    <cellStyle name="Accent3 4 5" xfId="4488" xr:uid="{00000000-0005-0000-0000-000088110000}"/>
    <cellStyle name="Accent3 4 5 2" xfId="4489" xr:uid="{00000000-0005-0000-0000-000089110000}"/>
    <cellStyle name="Accent3 4 6" xfId="4490" xr:uid="{00000000-0005-0000-0000-00008A110000}"/>
    <cellStyle name="Accent3 4 6 2" xfId="4491" xr:uid="{00000000-0005-0000-0000-00008B110000}"/>
    <cellStyle name="Accent3 4 6 2 2" xfId="4492" xr:uid="{00000000-0005-0000-0000-00008C110000}"/>
    <cellStyle name="Accent3 4 6 3" xfId="4493" xr:uid="{00000000-0005-0000-0000-00008D110000}"/>
    <cellStyle name="Accent3 4 7" xfId="4494" xr:uid="{00000000-0005-0000-0000-00008E110000}"/>
    <cellStyle name="Accent3 4 7 2" xfId="4495" xr:uid="{00000000-0005-0000-0000-00008F110000}"/>
    <cellStyle name="Accent3 4 7 2 2" xfId="4496" xr:uid="{00000000-0005-0000-0000-000090110000}"/>
    <cellStyle name="Accent3 4 7 3" xfId="4497" xr:uid="{00000000-0005-0000-0000-000091110000}"/>
    <cellStyle name="Accent3 4 8" xfId="4498" xr:uid="{00000000-0005-0000-0000-000092110000}"/>
    <cellStyle name="Accent3 40" xfId="4499" xr:uid="{00000000-0005-0000-0000-000093110000}"/>
    <cellStyle name="Accent3 40 2" xfId="4500" xr:uid="{00000000-0005-0000-0000-000094110000}"/>
    <cellStyle name="Accent3 40 2 2" xfId="4501" xr:uid="{00000000-0005-0000-0000-000095110000}"/>
    <cellStyle name="Accent3 40 3" xfId="4502" xr:uid="{00000000-0005-0000-0000-000096110000}"/>
    <cellStyle name="Accent3 41" xfId="4503" xr:uid="{00000000-0005-0000-0000-000097110000}"/>
    <cellStyle name="Accent3 41 2" xfId="4504" xr:uid="{00000000-0005-0000-0000-000098110000}"/>
    <cellStyle name="Accent3 41 2 2" xfId="4505" xr:uid="{00000000-0005-0000-0000-000099110000}"/>
    <cellStyle name="Accent3 41 3" xfId="4506" xr:uid="{00000000-0005-0000-0000-00009A110000}"/>
    <cellStyle name="Accent3 42" xfId="4507" xr:uid="{00000000-0005-0000-0000-00009B110000}"/>
    <cellStyle name="Accent3 42 2" xfId="4508" xr:uid="{00000000-0005-0000-0000-00009C110000}"/>
    <cellStyle name="Accent3 42 2 2" xfId="4509" xr:uid="{00000000-0005-0000-0000-00009D110000}"/>
    <cellStyle name="Accent3 42 3" xfId="4510" xr:uid="{00000000-0005-0000-0000-00009E110000}"/>
    <cellStyle name="Accent3 43" xfId="4511" xr:uid="{00000000-0005-0000-0000-00009F110000}"/>
    <cellStyle name="Accent3 43 2" xfId="4512" xr:uid="{00000000-0005-0000-0000-0000A0110000}"/>
    <cellStyle name="Accent3 43 2 2" xfId="4513" xr:uid="{00000000-0005-0000-0000-0000A1110000}"/>
    <cellStyle name="Accent3 43 3" xfId="4514" xr:uid="{00000000-0005-0000-0000-0000A2110000}"/>
    <cellStyle name="Accent3 44" xfId="4515" xr:uid="{00000000-0005-0000-0000-0000A3110000}"/>
    <cellStyle name="Accent3 44 2" xfId="4516" xr:uid="{00000000-0005-0000-0000-0000A4110000}"/>
    <cellStyle name="Accent3 44 2 2" xfId="4517" xr:uid="{00000000-0005-0000-0000-0000A5110000}"/>
    <cellStyle name="Accent3 44 3" xfId="4518" xr:uid="{00000000-0005-0000-0000-0000A6110000}"/>
    <cellStyle name="Accent3 45" xfId="4519" xr:uid="{00000000-0005-0000-0000-0000A7110000}"/>
    <cellStyle name="Accent3 45 2" xfId="4520" xr:uid="{00000000-0005-0000-0000-0000A8110000}"/>
    <cellStyle name="Accent3 45 2 2" xfId="4521" xr:uid="{00000000-0005-0000-0000-0000A9110000}"/>
    <cellStyle name="Accent3 45 3" xfId="4522" xr:uid="{00000000-0005-0000-0000-0000AA110000}"/>
    <cellStyle name="Accent3 46" xfId="4523" xr:uid="{00000000-0005-0000-0000-0000AB110000}"/>
    <cellStyle name="Accent3 46 2" xfId="4524" xr:uid="{00000000-0005-0000-0000-0000AC110000}"/>
    <cellStyle name="Accent3 46 2 2" xfId="4525" xr:uid="{00000000-0005-0000-0000-0000AD110000}"/>
    <cellStyle name="Accent3 46 3" xfId="4526" xr:uid="{00000000-0005-0000-0000-0000AE110000}"/>
    <cellStyle name="Accent3 47" xfId="4527" xr:uid="{00000000-0005-0000-0000-0000AF110000}"/>
    <cellStyle name="Accent3 47 2" xfId="4528" xr:uid="{00000000-0005-0000-0000-0000B0110000}"/>
    <cellStyle name="Accent3 47 2 2" xfId="4529" xr:uid="{00000000-0005-0000-0000-0000B1110000}"/>
    <cellStyle name="Accent3 47 3" xfId="4530" xr:uid="{00000000-0005-0000-0000-0000B2110000}"/>
    <cellStyle name="Accent3 48" xfId="4531" xr:uid="{00000000-0005-0000-0000-0000B3110000}"/>
    <cellStyle name="Accent3 48 2" xfId="4532" xr:uid="{00000000-0005-0000-0000-0000B4110000}"/>
    <cellStyle name="Accent3 48 2 2" xfId="4533" xr:uid="{00000000-0005-0000-0000-0000B5110000}"/>
    <cellStyle name="Accent3 48 3" xfId="4534" xr:uid="{00000000-0005-0000-0000-0000B6110000}"/>
    <cellStyle name="Accent3 48 3 2" xfId="4535" xr:uid="{00000000-0005-0000-0000-0000B7110000}"/>
    <cellStyle name="Accent3 48 3 2 2" xfId="4536" xr:uid="{00000000-0005-0000-0000-0000B8110000}"/>
    <cellStyle name="Accent3 48 3 3" xfId="4537" xr:uid="{00000000-0005-0000-0000-0000B9110000}"/>
    <cellStyle name="Accent3 48 4" xfId="4538" xr:uid="{00000000-0005-0000-0000-0000BA110000}"/>
    <cellStyle name="Accent3 49" xfId="4539" xr:uid="{00000000-0005-0000-0000-0000BB110000}"/>
    <cellStyle name="Accent3 49 2" xfId="4540" xr:uid="{00000000-0005-0000-0000-0000BC110000}"/>
    <cellStyle name="Accent3 49 2 2" xfId="4541" xr:uid="{00000000-0005-0000-0000-0000BD110000}"/>
    <cellStyle name="Accent3 49 3" xfId="4542" xr:uid="{00000000-0005-0000-0000-0000BE110000}"/>
    <cellStyle name="Accent3 49 3 2" xfId="4543" xr:uid="{00000000-0005-0000-0000-0000BF110000}"/>
    <cellStyle name="Accent3 49 3 2 2" xfId="4544" xr:uid="{00000000-0005-0000-0000-0000C0110000}"/>
    <cellStyle name="Accent3 49 3 3" xfId="4545" xr:uid="{00000000-0005-0000-0000-0000C1110000}"/>
    <cellStyle name="Accent3 49 4" xfId="4546" xr:uid="{00000000-0005-0000-0000-0000C2110000}"/>
    <cellStyle name="Accent3 5" xfId="4547" xr:uid="{00000000-0005-0000-0000-0000C3110000}"/>
    <cellStyle name="Accent3 5 2" xfId="4548" xr:uid="{00000000-0005-0000-0000-0000C4110000}"/>
    <cellStyle name="Accent3 5 2 2" xfId="4549" xr:uid="{00000000-0005-0000-0000-0000C5110000}"/>
    <cellStyle name="Accent3 5 2 2 2" xfId="4550" xr:uid="{00000000-0005-0000-0000-0000C6110000}"/>
    <cellStyle name="Accent3 5 2 3" xfId="4551" xr:uid="{00000000-0005-0000-0000-0000C7110000}"/>
    <cellStyle name="Accent3 5 2 3 2" xfId="4552" xr:uid="{00000000-0005-0000-0000-0000C8110000}"/>
    <cellStyle name="Accent3 5 2 3 2 2" xfId="4553" xr:uid="{00000000-0005-0000-0000-0000C9110000}"/>
    <cellStyle name="Accent3 5 2 3 3" xfId="4554" xr:uid="{00000000-0005-0000-0000-0000CA110000}"/>
    <cellStyle name="Accent3 5 2 4" xfId="4555" xr:uid="{00000000-0005-0000-0000-0000CB110000}"/>
    <cellStyle name="Accent3 5 3" xfId="4556" xr:uid="{00000000-0005-0000-0000-0000CC110000}"/>
    <cellStyle name="Accent3 5 3 2" xfId="4557" xr:uid="{00000000-0005-0000-0000-0000CD110000}"/>
    <cellStyle name="Accent3 5 3 2 2" xfId="4558" xr:uid="{00000000-0005-0000-0000-0000CE110000}"/>
    <cellStyle name="Accent3 5 3 3" xfId="4559" xr:uid="{00000000-0005-0000-0000-0000CF110000}"/>
    <cellStyle name="Accent3 5 3 3 2" xfId="4560" xr:uid="{00000000-0005-0000-0000-0000D0110000}"/>
    <cellStyle name="Accent3 5 3 3 2 2" xfId="4561" xr:uid="{00000000-0005-0000-0000-0000D1110000}"/>
    <cellStyle name="Accent3 5 3 3 3" xfId="4562" xr:uid="{00000000-0005-0000-0000-0000D2110000}"/>
    <cellStyle name="Accent3 5 3 4" xfId="4563" xr:uid="{00000000-0005-0000-0000-0000D3110000}"/>
    <cellStyle name="Accent3 5 4" xfId="4564" xr:uid="{00000000-0005-0000-0000-0000D4110000}"/>
    <cellStyle name="Accent3 5 4 2" xfId="4565" xr:uid="{00000000-0005-0000-0000-0000D5110000}"/>
    <cellStyle name="Accent3 5 5" xfId="4566" xr:uid="{00000000-0005-0000-0000-0000D6110000}"/>
    <cellStyle name="Accent3 5 5 2" xfId="4567" xr:uid="{00000000-0005-0000-0000-0000D7110000}"/>
    <cellStyle name="Accent3 5 5 2 2" xfId="4568" xr:uid="{00000000-0005-0000-0000-0000D8110000}"/>
    <cellStyle name="Accent3 5 5 3" xfId="4569" xr:uid="{00000000-0005-0000-0000-0000D9110000}"/>
    <cellStyle name="Accent3 5 6" xfId="4570" xr:uid="{00000000-0005-0000-0000-0000DA110000}"/>
    <cellStyle name="Accent3 5 6 2" xfId="4571" xr:uid="{00000000-0005-0000-0000-0000DB110000}"/>
    <cellStyle name="Accent3 5 7" xfId="4572" xr:uid="{00000000-0005-0000-0000-0000DC110000}"/>
    <cellStyle name="Accent3 50" xfId="4573" xr:uid="{00000000-0005-0000-0000-0000DD110000}"/>
    <cellStyle name="Accent3 50 2" xfId="4574" xr:uid="{00000000-0005-0000-0000-0000DE110000}"/>
    <cellStyle name="Accent3 50 2 2" xfId="4575" xr:uid="{00000000-0005-0000-0000-0000DF110000}"/>
    <cellStyle name="Accent3 50 3" xfId="4576" xr:uid="{00000000-0005-0000-0000-0000E0110000}"/>
    <cellStyle name="Accent3 50 3 2" xfId="4577" xr:uid="{00000000-0005-0000-0000-0000E1110000}"/>
    <cellStyle name="Accent3 50 3 2 2" xfId="4578" xr:uid="{00000000-0005-0000-0000-0000E2110000}"/>
    <cellStyle name="Accent3 50 3 3" xfId="4579" xr:uid="{00000000-0005-0000-0000-0000E3110000}"/>
    <cellStyle name="Accent3 50 4" xfId="4580" xr:uid="{00000000-0005-0000-0000-0000E4110000}"/>
    <cellStyle name="Accent3 51" xfId="4581" xr:uid="{00000000-0005-0000-0000-0000E5110000}"/>
    <cellStyle name="Accent3 51 2" xfId="4582" xr:uid="{00000000-0005-0000-0000-0000E6110000}"/>
    <cellStyle name="Accent3 51 2 2" xfId="4583" xr:uid="{00000000-0005-0000-0000-0000E7110000}"/>
    <cellStyle name="Accent3 51 3" xfId="4584" xr:uid="{00000000-0005-0000-0000-0000E8110000}"/>
    <cellStyle name="Accent3 51 3 2" xfId="4585" xr:uid="{00000000-0005-0000-0000-0000E9110000}"/>
    <cellStyle name="Accent3 51 3 2 2" xfId="4586" xr:uid="{00000000-0005-0000-0000-0000EA110000}"/>
    <cellStyle name="Accent3 51 3 3" xfId="4587" xr:uid="{00000000-0005-0000-0000-0000EB110000}"/>
    <cellStyle name="Accent3 51 4" xfId="4588" xr:uid="{00000000-0005-0000-0000-0000EC110000}"/>
    <cellStyle name="Accent3 52" xfId="4589" xr:uid="{00000000-0005-0000-0000-0000ED110000}"/>
    <cellStyle name="Accent3 52 2" xfId="4590" xr:uid="{00000000-0005-0000-0000-0000EE110000}"/>
    <cellStyle name="Accent3 52 2 2" xfId="4591" xr:uid="{00000000-0005-0000-0000-0000EF110000}"/>
    <cellStyle name="Accent3 52 3" xfId="4592" xr:uid="{00000000-0005-0000-0000-0000F0110000}"/>
    <cellStyle name="Accent3 53" xfId="4593" xr:uid="{00000000-0005-0000-0000-0000F1110000}"/>
    <cellStyle name="Accent3 53 2" xfId="4594" xr:uid="{00000000-0005-0000-0000-0000F2110000}"/>
    <cellStyle name="Accent3 53 2 2" xfId="4595" xr:uid="{00000000-0005-0000-0000-0000F3110000}"/>
    <cellStyle name="Accent3 53 3" xfId="4596" xr:uid="{00000000-0005-0000-0000-0000F4110000}"/>
    <cellStyle name="Accent3 54" xfId="4597" xr:uid="{00000000-0005-0000-0000-0000F5110000}"/>
    <cellStyle name="Accent3 54 2" xfId="4598" xr:uid="{00000000-0005-0000-0000-0000F6110000}"/>
    <cellStyle name="Accent3 54 2 2" xfId="4599" xr:uid="{00000000-0005-0000-0000-0000F7110000}"/>
    <cellStyle name="Accent3 54 3" xfId="4600" xr:uid="{00000000-0005-0000-0000-0000F8110000}"/>
    <cellStyle name="Accent3 55" xfId="4601" xr:uid="{00000000-0005-0000-0000-0000F9110000}"/>
    <cellStyle name="Accent3 55 2" xfId="4602" xr:uid="{00000000-0005-0000-0000-0000FA110000}"/>
    <cellStyle name="Accent3 55 2 2" xfId="4603" xr:uid="{00000000-0005-0000-0000-0000FB110000}"/>
    <cellStyle name="Accent3 55 3" xfId="4604" xr:uid="{00000000-0005-0000-0000-0000FC110000}"/>
    <cellStyle name="Accent3 56" xfId="4605" xr:uid="{00000000-0005-0000-0000-0000FD110000}"/>
    <cellStyle name="Accent3 56 2" xfId="4606" xr:uid="{00000000-0005-0000-0000-0000FE110000}"/>
    <cellStyle name="Accent3 56 2 2" xfId="4607" xr:uid="{00000000-0005-0000-0000-0000FF110000}"/>
    <cellStyle name="Accent3 56 3" xfId="4608" xr:uid="{00000000-0005-0000-0000-000000120000}"/>
    <cellStyle name="Accent3 57" xfId="4609" xr:uid="{00000000-0005-0000-0000-000001120000}"/>
    <cellStyle name="Accent3 57 2" xfId="4610" xr:uid="{00000000-0005-0000-0000-000002120000}"/>
    <cellStyle name="Accent3 57 2 2" xfId="4611" xr:uid="{00000000-0005-0000-0000-000003120000}"/>
    <cellStyle name="Accent3 57 3" xfId="4612" xr:uid="{00000000-0005-0000-0000-000004120000}"/>
    <cellStyle name="Accent3 58" xfId="4613" xr:uid="{00000000-0005-0000-0000-000005120000}"/>
    <cellStyle name="Accent3 58 2" xfId="4614" xr:uid="{00000000-0005-0000-0000-000006120000}"/>
    <cellStyle name="Accent3 58 2 2" xfId="4615" xr:uid="{00000000-0005-0000-0000-000007120000}"/>
    <cellStyle name="Accent3 58 3" xfId="4616" xr:uid="{00000000-0005-0000-0000-000008120000}"/>
    <cellStyle name="Accent3 58 3 2" xfId="4617" xr:uid="{00000000-0005-0000-0000-000009120000}"/>
    <cellStyle name="Accent3 58 3 2 2" xfId="4618" xr:uid="{00000000-0005-0000-0000-00000A120000}"/>
    <cellStyle name="Accent3 58 3 3" xfId="4619" xr:uid="{00000000-0005-0000-0000-00000B120000}"/>
    <cellStyle name="Accent3 58 4" xfId="4620" xr:uid="{00000000-0005-0000-0000-00000C120000}"/>
    <cellStyle name="Accent3 59" xfId="4621" xr:uid="{00000000-0005-0000-0000-00000D120000}"/>
    <cellStyle name="Accent3 59 2" xfId="4622" xr:uid="{00000000-0005-0000-0000-00000E120000}"/>
    <cellStyle name="Accent3 59 2 2" xfId="4623" xr:uid="{00000000-0005-0000-0000-00000F120000}"/>
    <cellStyle name="Accent3 59 3" xfId="4624" xr:uid="{00000000-0005-0000-0000-000010120000}"/>
    <cellStyle name="Accent3 59 3 2" xfId="4625" xr:uid="{00000000-0005-0000-0000-000011120000}"/>
    <cellStyle name="Accent3 59 3 2 2" xfId="4626" xr:uid="{00000000-0005-0000-0000-000012120000}"/>
    <cellStyle name="Accent3 59 3 3" xfId="4627" xr:uid="{00000000-0005-0000-0000-000013120000}"/>
    <cellStyle name="Accent3 59 4" xfId="4628" xr:uid="{00000000-0005-0000-0000-000014120000}"/>
    <cellStyle name="Accent3 6" xfId="4629" xr:uid="{00000000-0005-0000-0000-000015120000}"/>
    <cellStyle name="Accent3 6 2" xfId="4630" xr:uid="{00000000-0005-0000-0000-000016120000}"/>
    <cellStyle name="Accent3 6 2 2" xfId="4631" xr:uid="{00000000-0005-0000-0000-000017120000}"/>
    <cellStyle name="Accent3 6 2 2 2" xfId="4632" xr:uid="{00000000-0005-0000-0000-000018120000}"/>
    <cellStyle name="Accent3 6 2 3" xfId="4633" xr:uid="{00000000-0005-0000-0000-000019120000}"/>
    <cellStyle name="Accent3 6 2 3 2" xfId="4634" xr:uid="{00000000-0005-0000-0000-00001A120000}"/>
    <cellStyle name="Accent3 6 2 3 2 2" xfId="4635" xr:uid="{00000000-0005-0000-0000-00001B120000}"/>
    <cellStyle name="Accent3 6 2 3 3" xfId="4636" xr:uid="{00000000-0005-0000-0000-00001C120000}"/>
    <cellStyle name="Accent3 6 2 4" xfId="4637" xr:uid="{00000000-0005-0000-0000-00001D120000}"/>
    <cellStyle name="Accent3 6 3" xfId="4638" xr:uid="{00000000-0005-0000-0000-00001E120000}"/>
    <cellStyle name="Accent3 6 3 2" xfId="4639" xr:uid="{00000000-0005-0000-0000-00001F120000}"/>
    <cellStyle name="Accent3 6 4" xfId="4640" xr:uid="{00000000-0005-0000-0000-000020120000}"/>
    <cellStyle name="Accent3 6 4 2" xfId="4641" xr:uid="{00000000-0005-0000-0000-000021120000}"/>
    <cellStyle name="Accent3 6 4 2 2" xfId="4642" xr:uid="{00000000-0005-0000-0000-000022120000}"/>
    <cellStyle name="Accent3 6 4 3" xfId="4643" xr:uid="{00000000-0005-0000-0000-000023120000}"/>
    <cellStyle name="Accent3 6 5" xfId="4644" xr:uid="{00000000-0005-0000-0000-000024120000}"/>
    <cellStyle name="Accent3 60" xfId="4645" xr:uid="{00000000-0005-0000-0000-000025120000}"/>
    <cellStyle name="Accent3 60 2" xfId="4646" xr:uid="{00000000-0005-0000-0000-000026120000}"/>
    <cellStyle name="Accent3 60 2 2" xfId="4647" xr:uid="{00000000-0005-0000-0000-000027120000}"/>
    <cellStyle name="Accent3 60 3" xfId="4648" xr:uid="{00000000-0005-0000-0000-000028120000}"/>
    <cellStyle name="Accent3 60 3 2" xfId="4649" xr:uid="{00000000-0005-0000-0000-000029120000}"/>
    <cellStyle name="Accent3 60 3 2 2" xfId="4650" xr:uid="{00000000-0005-0000-0000-00002A120000}"/>
    <cellStyle name="Accent3 60 3 3" xfId="4651" xr:uid="{00000000-0005-0000-0000-00002B120000}"/>
    <cellStyle name="Accent3 60 4" xfId="4652" xr:uid="{00000000-0005-0000-0000-00002C120000}"/>
    <cellStyle name="Accent3 61" xfId="4653" xr:uid="{00000000-0005-0000-0000-00002D120000}"/>
    <cellStyle name="Accent3 61 2" xfId="4654" xr:uid="{00000000-0005-0000-0000-00002E120000}"/>
    <cellStyle name="Accent3 61 2 2" xfId="4655" xr:uid="{00000000-0005-0000-0000-00002F120000}"/>
    <cellStyle name="Accent3 61 3" xfId="4656" xr:uid="{00000000-0005-0000-0000-000030120000}"/>
    <cellStyle name="Accent3 61 3 2" xfId="4657" xr:uid="{00000000-0005-0000-0000-000031120000}"/>
    <cellStyle name="Accent3 61 3 2 2" xfId="4658" xr:uid="{00000000-0005-0000-0000-000032120000}"/>
    <cellStyle name="Accent3 61 3 3" xfId="4659" xr:uid="{00000000-0005-0000-0000-000033120000}"/>
    <cellStyle name="Accent3 61 4" xfId="4660" xr:uid="{00000000-0005-0000-0000-000034120000}"/>
    <cellStyle name="Accent3 62" xfId="4661" xr:uid="{00000000-0005-0000-0000-000035120000}"/>
    <cellStyle name="Accent3 62 2" xfId="4662" xr:uid="{00000000-0005-0000-0000-000036120000}"/>
    <cellStyle name="Accent3 62 2 2" xfId="4663" xr:uid="{00000000-0005-0000-0000-000037120000}"/>
    <cellStyle name="Accent3 62 3" xfId="4664" xr:uid="{00000000-0005-0000-0000-000038120000}"/>
    <cellStyle name="Accent3 62 3 2" xfId="4665" xr:uid="{00000000-0005-0000-0000-000039120000}"/>
    <cellStyle name="Accent3 62 3 2 2" xfId="4666" xr:uid="{00000000-0005-0000-0000-00003A120000}"/>
    <cellStyle name="Accent3 62 3 3" xfId="4667" xr:uid="{00000000-0005-0000-0000-00003B120000}"/>
    <cellStyle name="Accent3 62 4" xfId="4668" xr:uid="{00000000-0005-0000-0000-00003C120000}"/>
    <cellStyle name="Accent3 63" xfId="4669" xr:uid="{00000000-0005-0000-0000-00003D120000}"/>
    <cellStyle name="Accent3 63 2" xfId="4670" xr:uid="{00000000-0005-0000-0000-00003E120000}"/>
    <cellStyle name="Accent3 63 2 2" xfId="4671" xr:uid="{00000000-0005-0000-0000-00003F120000}"/>
    <cellStyle name="Accent3 63 3" xfId="4672" xr:uid="{00000000-0005-0000-0000-000040120000}"/>
    <cellStyle name="Accent3 63 3 2" xfId="4673" xr:uid="{00000000-0005-0000-0000-000041120000}"/>
    <cellStyle name="Accent3 63 3 2 2" xfId="4674" xr:uid="{00000000-0005-0000-0000-000042120000}"/>
    <cellStyle name="Accent3 63 3 3" xfId="4675" xr:uid="{00000000-0005-0000-0000-000043120000}"/>
    <cellStyle name="Accent3 63 4" xfId="4676" xr:uid="{00000000-0005-0000-0000-000044120000}"/>
    <cellStyle name="Accent3 64" xfId="4677" xr:uid="{00000000-0005-0000-0000-000045120000}"/>
    <cellStyle name="Accent3 64 2" xfId="4678" xr:uid="{00000000-0005-0000-0000-000046120000}"/>
    <cellStyle name="Accent3 64 2 2" xfId="4679" xr:uid="{00000000-0005-0000-0000-000047120000}"/>
    <cellStyle name="Accent3 64 3" xfId="4680" xr:uid="{00000000-0005-0000-0000-000048120000}"/>
    <cellStyle name="Accent3 64 3 2" xfId="4681" xr:uid="{00000000-0005-0000-0000-000049120000}"/>
    <cellStyle name="Accent3 64 3 2 2" xfId="4682" xr:uid="{00000000-0005-0000-0000-00004A120000}"/>
    <cellStyle name="Accent3 64 3 3" xfId="4683" xr:uid="{00000000-0005-0000-0000-00004B120000}"/>
    <cellStyle name="Accent3 64 4" xfId="4684" xr:uid="{00000000-0005-0000-0000-00004C120000}"/>
    <cellStyle name="Accent3 65" xfId="4685" xr:uid="{00000000-0005-0000-0000-00004D120000}"/>
    <cellStyle name="Accent3 65 2" xfId="4686" xr:uid="{00000000-0005-0000-0000-00004E120000}"/>
    <cellStyle name="Accent3 65 2 2" xfId="4687" xr:uid="{00000000-0005-0000-0000-00004F120000}"/>
    <cellStyle name="Accent3 65 3" xfId="4688" xr:uid="{00000000-0005-0000-0000-000050120000}"/>
    <cellStyle name="Accent3 65 3 2" xfId="4689" xr:uid="{00000000-0005-0000-0000-000051120000}"/>
    <cellStyle name="Accent3 65 3 2 2" xfId="4690" xr:uid="{00000000-0005-0000-0000-000052120000}"/>
    <cellStyle name="Accent3 65 3 3" xfId="4691" xr:uid="{00000000-0005-0000-0000-000053120000}"/>
    <cellStyle name="Accent3 65 4" xfId="4692" xr:uid="{00000000-0005-0000-0000-000054120000}"/>
    <cellStyle name="Accent3 66" xfId="4693" xr:uid="{00000000-0005-0000-0000-000055120000}"/>
    <cellStyle name="Accent3 66 2" xfId="4694" xr:uid="{00000000-0005-0000-0000-000056120000}"/>
    <cellStyle name="Accent3 66 2 2" xfId="4695" xr:uid="{00000000-0005-0000-0000-000057120000}"/>
    <cellStyle name="Accent3 66 3" xfId="4696" xr:uid="{00000000-0005-0000-0000-000058120000}"/>
    <cellStyle name="Accent3 66 3 2" xfId="4697" xr:uid="{00000000-0005-0000-0000-000059120000}"/>
    <cellStyle name="Accent3 66 3 2 2" xfId="4698" xr:uid="{00000000-0005-0000-0000-00005A120000}"/>
    <cellStyle name="Accent3 66 3 3" xfId="4699" xr:uid="{00000000-0005-0000-0000-00005B120000}"/>
    <cellStyle name="Accent3 66 4" xfId="4700" xr:uid="{00000000-0005-0000-0000-00005C120000}"/>
    <cellStyle name="Accent3 67" xfId="4701" xr:uid="{00000000-0005-0000-0000-00005D120000}"/>
    <cellStyle name="Accent3 67 2" xfId="4702" xr:uid="{00000000-0005-0000-0000-00005E120000}"/>
    <cellStyle name="Accent3 67 2 2" xfId="4703" xr:uid="{00000000-0005-0000-0000-00005F120000}"/>
    <cellStyle name="Accent3 67 3" xfId="4704" xr:uid="{00000000-0005-0000-0000-000060120000}"/>
    <cellStyle name="Accent3 67 3 2" xfId="4705" xr:uid="{00000000-0005-0000-0000-000061120000}"/>
    <cellStyle name="Accent3 67 3 2 2" xfId="4706" xr:uid="{00000000-0005-0000-0000-000062120000}"/>
    <cellStyle name="Accent3 67 3 3" xfId="4707" xr:uid="{00000000-0005-0000-0000-000063120000}"/>
    <cellStyle name="Accent3 67 4" xfId="4708" xr:uid="{00000000-0005-0000-0000-000064120000}"/>
    <cellStyle name="Accent3 68" xfId="4709" xr:uid="{00000000-0005-0000-0000-000065120000}"/>
    <cellStyle name="Accent3 68 2" xfId="4710" xr:uid="{00000000-0005-0000-0000-000066120000}"/>
    <cellStyle name="Accent3 68 2 2" xfId="4711" xr:uid="{00000000-0005-0000-0000-000067120000}"/>
    <cellStyle name="Accent3 68 3" xfId="4712" xr:uid="{00000000-0005-0000-0000-000068120000}"/>
    <cellStyle name="Accent3 68 3 2" xfId="4713" xr:uid="{00000000-0005-0000-0000-000069120000}"/>
    <cellStyle name="Accent3 68 3 2 2" xfId="4714" xr:uid="{00000000-0005-0000-0000-00006A120000}"/>
    <cellStyle name="Accent3 68 3 3" xfId="4715" xr:uid="{00000000-0005-0000-0000-00006B120000}"/>
    <cellStyle name="Accent3 68 4" xfId="4716" xr:uid="{00000000-0005-0000-0000-00006C120000}"/>
    <cellStyle name="Accent3 69" xfId="4717" xr:uid="{00000000-0005-0000-0000-00006D120000}"/>
    <cellStyle name="Accent3 69 2" xfId="4718" xr:uid="{00000000-0005-0000-0000-00006E120000}"/>
    <cellStyle name="Accent3 69 2 2" xfId="4719" xr:uid="{00000000-0005-0000-0000-00006F120000}"/>
    <cellStyle name="Accent3 69 3" xfId="4720" xr:uid="{00000000-0005-0000-0000-000070120000}"/>
    <cellStyle name="Accent3 69 3 2" xfId="4721" xr:uid="{00000000-0005-0000-0000-000071120000}"/>
    <cellStyle name="Accent3 69 3 2 2" xfId="4722" xr:uid="{00000000-0005-0000-0000-000072120000}"/>
    <cellStyle name="Accent3 69 3 3" xfId="4723" xr:uid="{00000000-0005-0000-0000-000073120000}"/>
    <cellStyle name="Accent3 69 4" xfId="4724" xr:uid="{00000000-0005-0000-0000-000074120000}"/>
    <cellStyle name="Accent3 7" xfId="4725" xr:uid="{00000000-0005-0000-0000-000075120000}"/>
    <cellStyle name="Accent3 7 2" xfId="4726" xr:uid="{00000000-0005-0000-0000-000076120000}"/>
    <cellStyle name="Accent3 7 2 2" xfId="4727" xr:uid="{00000000-0005-0000-0000-000077120000}"/>
    <cellStyle name="Accent3 7 2 2 2" xfId="4728" xr:uid="{00000000-0005-0000-0000-000078120000}"/>
    <cellStyle name="Accent3 7 2 3" xfId="4729" xr:uid="{00000000-0005-0000-0000-000079120000}"/>
    <cellStyle name="Accent3 7 2 3 2" xfId="4730" xr:uid="{00000000-0005-0000-0000-00007A120000}"/>
    <cellStyle name="Accent3 7 2 3 2 2" xfId="4731" xr:uid="{00000000-0005-0000-0000-00007B120000}"/>
    <cellStyle name="Accent3 7 2 3 3" xfId="4732" xr:uid="{00000000-0005-0000-0000-00007C120000}"/>
    <cellStyle name="Accent3 7 2 4" xfId="4733" xr:uid="{00000000-0005-0000-0000-00007D120000}"/>
    <cellStyle name="Accent3 7 3" xfId="4734" xr:uid="{00000000-0005-0000-0000-00007E120000}"/>
    <cellStyle name="Accent3 7 3 2" xfId="4735" xr:uid="{00000000-0005-0000-0000-00007F120000}"/>
    <cellStyle name="Accent3 7 4" xfId="4736" xr:uid="{00000000-0005-0000-0000-000080120000}"/>
    <cellStyle name="Accent3 7 4 2" xfId="4737" xr:uid="{00000000-0005-0000-0000-000081120000}"/>
    <cellStyle name="Accent3 7 4 2 2" xfId="4738" xr:uid="{00000000-0005-0000-0000-000082120000}"/>
    <cellStyle name="Accent3 7 4 3" xfId="4739" xr:uid="{00000000-0005-0000-0000-000083120000}"/>
    <cellStyle name="Accent3 7 5" xfId="4740" xr:uid="{00000000-0005-0000-0000-000084120000}"/>
    <cellStyle name="Accent3 70" xfId="4741" xr:uid="{00000000-0005-0000-0000-000085120000}"/>
    <cellStyle name="Accent3 70 2" xfId="4742" xr:uid="{00000000-0005-0000-0000-000086120000}"/>
    <cellStyle name="Accent3 70 2 2" xfId="4743" xr:uid="{00000000-0005-0000-0000-000087120000}"/>
    <cellStyle name="Accent3 70 3" xfId="4744" xr:uid="{00000000-0005-0000-0000-000088120000}"/>
    <cellStyle name="Accent3 70 3 2" xfId="4745" xr:uid="{00000000-0005-0000-0000-000089120000}"/>
    <cellStyle name="Accent3 70 3 2 2" xfId="4746" xr:uid="{00000000-0005-0000-0000-00008A120000}"/>
    <cellStyle name="Accent3 70 3 3" xfId="4747" xr:uid="{00000000-0005-0000-0000-00008B120000}"/>
    <cellStyle name="Accent3 70 4" xfId="4748" xr:uid="{00000000-0005-0000-0000-00008C120000}"/>
    <cellStyle name="Accent3 71" xfId="4749" xr:uid="{00000000-0005-0000-0000-00008D120000}"/>
    <cellStyle name="Accent3 71 2" xfId="4750" xr:uid="{00000000-0005-0000-0000-00008E120000}"/>
    <cellStyle name="Accent3 71 2 2" xfId="4751" xr:uid="{00000000-0005-0000-0000-00008F120000}"/>
    <cellStyle name="Accent3 71 3" xfId="4752" xr:uid="{00000000-0005-0000-0000-000090120000}"/>
    <cellStyle name="Accent3 71 3 2" xfId="4753" xr:uid="{00000000-0005-0000-0000-000091120000}"/>
    <cellStyle name="Accent3 71 3 2 2" xfId="4754" xr:uid="{00000000-0005-0000-0000-000092120000}"/>
    <cellStyle name="Accent3 71 3 3" xfId="4755" xr:uid="{00000000-0005-0000-0000-000093120000}"/>
    <cellStyle name="Accent3 71 4" xfId="4756" xr:uid="{00000000-0005-0000-0000-000094120000}"/>
    <cellStyle name="Accent3 72" xfId="4757" xr:uid="{00000000-0005-0000-0000-000095120000}"/>
    <cellStyle name="Accent3 72 2" xfId="4758" xr:uid="{00000000-0005-0000-0000-000096120000}"/>
    <cellStyle name="Accent3 72 2 2" xfId="4759" xr:uid="{00000000-0005-0000-0000-000097120000}"/>
    <cellStyle name="Accent3 72 3" xfId="4760" xr:uid="{00000000-0005-0000-0000-000098120000}"/>
    <cellStyle name="Accent3 72 3 2" xfId="4761" xr:uid="{00000000-0005-0000-0000-000099120000}"/>
    <cellStyle name="Accent3 72 3 2 2" xfId="4762" xr:uid="{00000000-0005-0000-0000-00009A120000}"/>
    <cellStyle name="Accent3 72 3 3" xfId="4763" xr:uid="{00000000-0005-0000-0000-00009B120000}"/>
    <cellStyle name="Accent3 72 4" xfId="4764" xr:uid="{00000000-0005-0000-0000-00009C120000}"/>
    <cellStyle name="Accent3 73" xfId="4765" xr:uid="{00000000-0005-0000-0000-00009D120000}"/>
    <cellStyle name="Accent3 73 2" xfId="4766" xr:uid="{00000000-0005-0000-0000-00009E120000}"/>
    <cellStyle name="Accent3 73 2 2" xfId="4767" xr:uid="{00000000-0005-0000-0000-00009F120000}"/>
    <cellStyle name="Accent3 73 3" xfId="4768" xr:uid="{00000000-0005-0000-0000-0000A0120000}"/>
    <cellStyle name="Accent3 73 3 2" xfId="4769" xr:uid="{00000000-0005-0000-0000-0000A1120000}"/>
    <cellStyle name="Accent3 73 3 2 2" xfId="4770" xr:uid="{00000000-0005-0000-0000-0000A2120000}"/>
    <cellStyle name="Accent3 73 3 3" xfId="4771" xr:uid="{00000000-0005-0000-0000-0000A3120000}"/>
    <cellStyle name="Accent3 73 4" xfId="4772" xr:uid="{00000000-0005-0000-0000-0000A4120000}"/>
    <cellStyle name="Accent3 74" xfId="4773" xr:uid="{00000000-0005-0000-0000-0000A5120000}"/>
    <cellStyle name="Accent3 74 2" xfId="4774" xr:uid="{00000000-0005-0000-0000-0000A6120000}"/>
    <cellStyle name="Accent3 74 2 2" xfId="4775" xr:uid="{00000000-0005-0000-0000-0000A7120000}"/>
    <cellStyle name="Accent3 74 3" xfId="4776" xr:uid="{00000000-0005-0000-0000-0000A8120000}"/>
    <cellStyle name="Accent3 74 3 2" xfId="4777" xr:uid="{00000000-0005-0000-0000-0000A9120000}"/>
    <cellStyle name="Accent3 74 3 2 2" xfId="4778" xr:uid="{00000000-0005-0000-0000-0000AA120000}"/>
    <cellStyle name="Accent3 74 3 3" xfId="4779" xr:uid="{00000000-0005-0000-0000-0000AB120000}"/>
    <cellStyle name="Accent3 74 4" xfId="4780" xr:uid="{00000000-0005-0000-0000-0000AC120000}"/>
    <cellStyle name="Accent3 75" xfId="4781" xr:uid="{00000000-0005-0000-0000-0000AD120000}"/>
    <cellStyle name="Accent3 75 2" xfId="4782" xr:uid="{00000000-0005-0000-0000-0000AE120000}"/>
    <cellStyle name="Accent3 75 2 2" xfId="4783" xr:uid="{00000000-0005-0000-0000-0000AF120000}"/>
    <cellStyle name="Accent3 75 3" xfId="4784" xr:uid="{00000000-0005-0000-0000-0000B0120000}"/>
    <cellStyle name="Accent3 75 3 2" xfId="4785" xr:uid="{00000000-0005-0000-0000-0000B1120000}"/>
    <cellStyle name="Accent3 75 3 2 2" xfId="4786" xr:uid="{00000000-0005-0000-0000-0000B2120000}"/>
    <cellStyle name="Accent3 75 3 3" xfId="4787" xr:uid="{00000000-0005-0000-0000-0000B3120000}"/>
    <cellStyle name="Accent3 75 4" xfId="4788" xr:uid="{00000000-0005-0000-0000-0000B4120000}"/>
    <cellStyle name="Accent3 76" xfId="4789" xr:uid="{00000000-0005-0000-0000-0000B5120000}"/>
    <cellStyle name="Accent3 76 2" xfId="4790" xr:uid="{00000000-0005-0000-0000-0000B6120000}"/>
    <cellStyle name="Accent3 76 2 2" xfId="4791" xr:uid="{00000000-0005-0000-0000-0000B7120000}"/>
    <cellStyle name="Accent3 76 3" xfId="4792" xr:uid="{00000000-0005-0000-0000-0000B8120000}"/>
    <cellStyle name="Accent3 76 3 2" xfId="4793" xr:uid="{00000000-0005-0000-0000-0000B9120000}"/>
    <cellStyle name="Accent3 76 3 2 2" xfId="4794" xr:uid="{00000000-0005-0000-0000-0000BA120000}"/>
    <cellStyle name="Accent3 76 3 3" xfId="4795" xr:uid="{00000000-0005-0000-0000-0000BB120000}"/>
    <cellStyle name="Accent3 76 4" xfId="4796" xr:uid="{00000000-0005-0000-0000-0000BC120000}"/>
    <cellStyle name="Accent3 77" xfId="4797" xr:uid="{00000000-0005-0000-0000-0000BD120000}"/>
    <cellStyle name="Accent3 77 2" xfId="4798" xr:uid="{00000000-0005-0000-0000-0000BE120000}"/>
    <cellStyle name="Accent3 77 2 2" xfId="4799" xr:uid="{00000000-0005-0000-0000-0000BF120000}"/>
    <cellStyle name="Accent3 77 3" xfId="4800" xr:uid="{00000000-0005-0000-0000-0000C0120000}"/>
    <cellStyle name="Accent3 77 3 2" xfId="4801" xr:uid="{00000000-0005-0000-0000-0000C1120000}"/>
    <cellStyle name="Accent3 77 3 2 2" xfId="4802" xr:uid="{00000000-0005-0000-0000-0000C2120000}"/>
    <cellStyle name="Accent3 77 3 3" xfId="4803" xr:uid="{00000000-0005-0000-0000-0000C3120000}"/>
    <cellStyle name="Accent3 77 4" xfId="4804" xr:uid="{00000000-0005-0000-0000-0000C4120000}"/>
    <cellStyle name="Accent3 78" xfId="4805" xr:uid="{00000000-0005-0000-0000-0000C5120000}"/>
    <cellStyle name="Accent3 78 2" xfId="4806" xr:uid="{00000000-0005-0000-0000-0000C6120000}"/>
    <cellStyle name="Accent3 78 2 2" xfId="4807" xr:uid="{00000000-0005-0000-0000-0000C7120000}"/>
    <cellStyle name="Accent3 78 3" xfId="4808" xr:uid="{00000000-0005-0000-0000-0000C8120000}"/>
    <cellStyle name="Accent3 78 3 2" xfId="4809" xr:uid="{00000000-0005-0000-0000-0000C9120000}"/>
    <cellStyle name="Accent3 78 3 2 2" xfId="4810" xr:uid="{00000000-0005-0000-0000-0000CA120000}"/>
    <cellStyle name="Accent3 78 3 3" xfId="4811" xr:uid="{00000000-0005-0000-0000-0000CB120000}"/>
    <cellStyle name="Accent3 78 4" xfId="4812" xr:uid="{00000000-0005-0000-0000-0000CC120000}"/>
    <cellStyle name="Accent3 79" xfId="4813" xr:uid="{00000000-0005-0000-0000-0000CD120000}"/>
    <cellStyle name="Accent3 79 2" xfId="4814" xr:uid="{00000000-0005-0000-0000-0000CE120000}"/>
    <cellStyle name="Accent3 79 2 2" xfId="4815" xr:uid="{00000000-0005-0000-0000-0000CF120000}"/>
    <cellStyle name="Accent3 79 3" xfId="4816" xr:uid="{00000000-0005-0000-0000-0000D0120000}"/>
    <cellStyle name="Accent3 79 3 2" xfId="4817" xr:uid="{00000000-0005-0000-0000-0000D1120000}"/>
    <cellStyle name="Accent3 79 3 2 2" xfId="4818" xr:uid="{00000000-0005-0000-0000-0000D2120000}"/>
    <cellStyle name="Accent3 79 3 3" xfId="4819" xr:uid="{00000000-0005-0000-0000-0000D3120000}"/>
    <cellStyle name="Accent3 79 4" xfId="4820" xr:uid="{00000000-0005-0000-0000-0000D4120000}"/>
    <cellStyle name="Accent3 8" xfId="4821" xr:uid="{00000000-0005-0000-0000-0000D5120000}"/>
    <cellStyle name="Accent3 8 2" xfId="4822" xr:uid="{00000000-0005-0000-0000-0000D6120000}"/>
    <cellStyle name="Accent3 8 2 2" xfId="4823" xr:uid="{00000000-0005-0000-0000-0000D7120000}"/>
    <cellStyle name="Accent3 8 3" xfId="4824" xr:uid="{00000000-0005-0000-0000-0000D8120000}"/>
    <cellStyle name="Accent3 80" xfId="4825" xr:uid="{00000000-0005-0000-0000-0000D9120000}"/>
    <cellStyle name="Accent3 80 2" xfId="4826" xr:uid="{00000000-0005-0000-0000-0000DA120000}"/>
    <cellStyle name="Accent3 80 2 2" xfId="4827" xr:uid="{00000000-0005-0000-0000-0000DB120000}"/>
    <cellStyle name="Accent3 80 3" xfId="4828" xr:uid="{00000000-0005-0000-0000-0000DC120000}"/>
    <cellStyle name="Accent3 80 3 2" xfId="4829" xr:uid="{00000000-0005-0000-0000-0000DD120000}"/>
    <cellStyle name="Accent3 80 3 2 2" xfId="4830" xr:uid="{00000000-0005-0000-0000-0000DE120000}"/>
    <cellStyle name="Accent3 80 3 3" xfId="4831" xr:uid="{00000000-0005-0000-0000-0000DF120000}"/>
    <cellStyle name="Accent3 80 4" xfId="4832" xr:uid="{00000000-0005-0000-0000-0000E0120000}"/>
    <cellStyle name="Accent3 81" xfId="4833" xr:uid="{00000000-0005-0000-0000-0000E1120000}"/>
    <cellStyle name="Accent3 81 2" xfId="4834" xr:uid="{00000000-0005-0000-0000-0000E2120000}"/>
    <cellStyle name="Accent3 81 2 2" xfId="4835" xr:uid="{00000000-0005-0000-0000-0000E3120000}"/>
    <cellStyle name="Accent3 81 3" xfId="4836" xr:uid="{00000000-0005-0000-0000-0000E4120000}"/>
    <cellStyle name="Accent3 81 3 2" xfId="4837" xr:uid="{00000000-0005-0000-0000-0000E5120000}"/>
    <cellStyle name="Accent3 81 3 2 2" xfId="4838" xr:uid="{00000000-0005-0000-0000-0000E6120000}"/>
    <cellStyle name="Accent3 81 3 3" xfId="4839" xr:uid="{00000000-0005-0000-0000-0000E7120000}"/>
    <cellStyle name="Accent3 81 4" xfId="4840" xr:uid="{00000000-0005-0000-0000-0000E8120000}"/>
    <cellStyle name="Accent3 82" xfId="4841" xr:uid="{00000000-0005-0000-0000-0000E9120000}"/>
    <cellStyle name="Accent3 82 2" xfId="4842" xr:uid="{00000000-0005-0000-0000-0000EA120000}"/>
    <cellStyle name="Accent3 82 2 2" xfId="4843" xr:uid="{00000000-0005-0000-0000-0000EB120000}"/>
    <cellStyle name="Accent3 82 3" xfId="4844" xr:uid="{00000000-0005-0000-0000-0000EC120000}"/>
    <cellStyle name="Accent3 82 3 2" xfId="4845" xr:uid="{00000000-0005-0000-0000-0000ED120000}"/>
    <cellStyle name="Accent3 82 3 2 2" xfId="4846" xr:uid="{00000000-0005-0000-0000-0000EE120000}"/>
    <cellStyle name="Accent3 82 3 3" xfId="4847" xr:uid="{00000000-0005-0000-0000-0000EF120000}"/>
    <cellStyle name="Accent3 82 4" xfId="4848" xr:uid="{00000000-0005-0000-0000-0000F0120000}"/>
    <cellStyle name="Accent3 83" xfId="4849" xr:uid="{00000000-0005-0000-0000-0000F1120000}"/>
    <cellStyle name="Accent3 83 2" xfId="4850" xr:uid="{00000000-0005-0000-0000-0000F2120000}"/>
    <cellStyle name="Accent3 83 2 2" xfId="4851" xr:uid="{00000000-0005-0000-0000-0000F3120000}"/>
    <cellStyle name="Accent3 83 3" xfId="4852" xr:uid="{00000000-0005-0000-0000-0000F4120000}"/>
    <cellStyle name="Accent3 83 3 2" xfId="4853" xr:uid="{00000000-0005-0000-0000-0000F5120000}"/>
    <cellStyle name="Accent3 83 3 2 2" xfId="4854" xr:uid="{00000000-0005-0000-0000-0000F6120000}"/>
    <cellStyle name="Accent3 83 3 3" xfId="4855" xr:uid="{00000000-0005-0000-0000-0000F7120000}"/>
    <cellStyle name="Accent3 83 4" xfId="4856" xr:uid="{00000000-0005-0000-0000-0000F8120000}"/>
    <cellStyle name="Accent3 84" xfId="4857" xr:uid="{00000000-0005-0000-0000-0000F9120000}"/>
    <cellStyle name="Accent3 84 2" xfId="4858" xr:uid="{00000000-0005-0000-0000-0000FA120000}"/>
    <cellStyle name="Accent3 84 2 2" xfId="4859" xr:uid="{00000000-0005-0000-0000-0000FB120000}"/>
    <cellStyle name="Accent3 84 3" xfId="4860" xr:uid="{00000000-0005-0000-0000-0000FC120000}"/>
    <cellStyle name="Accent3 85" xfId="4861" xr:uid="{00000000-0005-0000-0000-0000FD120000}"/>
    <cellStyle name="Accent3 85 2" xfId="4862" xr:uid="{00000000-0005-0000-0000-0000FE120000}"/>
    <cellStyle name="Accent3 85 2 2" xfId="4863" xr:uid="{00000000-0005-0000-0000-0000FF120000}"/>
    <cellStyle name="Accent3 85 3" xfId="4864" xr:uid="{00000000-0005-0000-0000-000000130000}"/>
    <cellStyle name="Accent3 86" xfId="4865" xr:uid="{00000000-0005-0000-0000-000001130000}"/>
    <cellStyle name="Accent3 86 2" xfId="4866" xr:uid="{00000000-0005-0000-0000-000002130000}"/>
    <cellStyle name="Accent3 86 2 2" xfId="4867" xr:uid="{00000000-0005-0000-0000-000003130000}"/>
    <cellStyle name="Accent3 86 3" xfId="4868" xr:uid="{00000000-0005-0000-0000-000004130000}"/>
    <cellStyle name="Accent3 87" xfId="4869" xr:uid="{00000000-0005-0000-0000-000005130000}"/>
    <cellStyle name="Accent3 87 2" xfId="4870" xr:uid="{00000000-0005-0000-0000-000006130000}"/>
    <cellStyle name="Accent3 87 2 2" xfId="4871" xr:uid="{00000000-0005-0000-0000-000007130000}"/>
    <cellStyle name="Accent3 87 3" xfId="4872" xr:uid="{00000000-0005-0000-0000-000008130000}"/>
    <cellStyle name="Accent3 88" xfId="4873" xr:uid="{00000000-0005-0000-0000-000009130000}"/>
    <cellStyle name="Accent3 88 2" xfId="4874" xr:uid="{00000000-0005-0000-0000-00000A130000}"/>
    <cellStyle name="Accent3 88 2 2" xfId="4875" xr:uid="{00000000-0005-0000-0000-00000B130000}"/>
    <cellStyle name="Accent3 88 3" xfId="4876" xr:uid="{00000000-0005-0000-0000-00000C130000}"/>
    <cellStyle name="Accent3 89" xfId="4877" xr:uid="{00000000-0005-0000-0000-00000D130000}"/>
    <cellStyle name="Accent3 89 2" xfId="4878" xr:uid="{00000000-0005-0000-0000-00000E130000}"/>
    <cellStyle name="Accent3 89 2 2" xfId="4879" xr:uid="{00000000-0005-0000-0000-00000F130000}"/>
    <cellStyle name="Accent3 89 3" xfId="4880" xr:uid="{00000000-0005-0000-0000-000010130000}"/>
    <cellStyle name="Accent3 9" xfId="4881" xr:uid="{00000000-0005-0000-0000-000011130000}"/>
    <cellStyle name="Accent3 9 2" xfId="4882" xr:uid="{00000000-0005-0000-0000-000012130000}"/>
    <cellStyle name="Accent3 9 2 2" xfId="4883" xr:uid="{00000000-0005-0000-0000-000013130000}"/>
    <cellStyle name="Accent3 9 3" xfId="4884" xr:uid="{00000000-0005-0000-0000-000014130000}"/>
    <cellStyle name="Accent3 90" xfId="4885" xr:uid="{00000000-0005-0000-0000-000015130000}"/>
    <cellStyle name="Accent3 90 2" xfId="4886" xr:uid="{00000000-0005-0000-0000-000016130000}"/>
    <cellStyle name="Accent3 90 2 2" xfId="4887" xr:uid="{00000000-0005-0000-0000-000017130000}"/>
    <cellStyle name="Accent3 90 3" xfId="4888" xr:uid="{00000000-0005-0000-0000-000018130000}"/>
    <cellStyle name="Accent3 91" xfId="4889" xr:uid="{00000000-0005-0000-0000-000019130000}"/>
    <cellStyle name="Accent3 91 2" xfId="4890" xr:uid="{00000000-0005-0000-0000-00001A130000}"/>
    <cellStyle name="Accent3 91 2 2" xfId="4891" xr:uid="{00000000-0005-0000-0000-00001B130000}"/>
    <cellStyle name="Accent3 91 3" xfId="4892" xr:uid="{00000000-0005-0000-0000-00001C130000}"/>
    <cellStyle name="Accent3 92" xfId="4893" xr:uid="{00000000-0005-0000-0000-00001D130000}"/>
    <cellStyle name="Accent3 92 2" xfId="4894" xr:uid="{00000000-0005-0000-0000-00001E130000}"/>
    <cellStyle name="Accent3 92 2 2" xfId="4895" xr:uid="{00000000-0005-0000-0000-00001F130000}"/>
    <cellStyle name="Accent3 92 3" xfId="4896" xr:uid="{00000000-0005-0000-0000-000020130000}"/>
    <cellStyle name="Accent3 93" xfId="4897" xr:uid="{00000000-0005-0000-0000-000021130000}"/>
    <cellStyle name="Accent3 93 2" xfId="4898" xr:uid="{00000000-0005-0000-0000-000022130000}"/>
    <cellStyle name="Accent3 93 2 2" xfId="4899" xr:uid="{00000000-0005-0000-0000-000023130000}"/>
    <cellStyle name="Accent3 93 3" xfId="4900" xr:uid="{00000000-0005-0000-0000-000024130000}"/>
    <cellStyle name="Accent3 94" xfId="4901" xr:uid="{00000000-0005-0000-0000-000025130000}"/>
    <cellStyle name="Accent3 94 2" xfId="4902" xr:uid="{00000000-0005-0000-0000-000026130000}"/>
    <cellStyle name="Accent3 94 2 2" xfId="4903" xr:uid="{00000000-0005-0000-0000-000027130000}"/>
    <cellStyle name="Accent3 94 3" xfId="4904" xr:uid="{00000000-0005-0000-0000-000028130000}"/>
    <cellStyle name="Accent3 95" xfId="4905" xr:uid="{00000000-0005-0000-0000-000029130000}"/>
    <cellStyle name="Accent3 95 2" xfId="4906" xr:uid="{00000000-0005-0000-0000-00002A130000}"/>
    <cellStyle name="Accent3 95 2 2" xfId="4907" xr:uid="{00000000-0005-0000-0000-00002B130000}"/>
    <cellStyle name="Accent3 95 3" xfId="4908" xr:uid="{00000000-0005-0000-0000-00002C130000}"/>
    <cellStyle name="Accent3 96" xfId="4909" xr:uid="{00000000-0005-0000-0000-00002D130000}"/>
    <cellStyle name="Accent3 96 2" xfId="4910" xr:uid="{00000000-0005-0000-0000-00002E130000}"/>
    <cellStyle name="Accent3 96 2 2" xfId="4911" xr:uid="{00000000-0005-0000-0000-00002F130000}"/>
    <cellStyle name="Accent3 96 3" xfId="4912" xr:uid="{00000000-0005-0000-0000-000030130000}"/>
    <cellStyle name="Accent3 97" xfId="4913" xr:uid="{00000000-0005-0000-0000-000031130000}"/>
    <cellStyle name="Accent3 97 2" xfId="4914" xr:uid="{00000000-0005-0000-0000-000032130000}"/>
    <cellStyle name="Accent3 97 2 2" xfId="4915" xr:uid="{00000000-0005-0000-0000-000033130000}"/>
    <cellStyle name="Accent3 97 3" xfId="4916" xr:uid="{00000000-0005-0000-0000-000034130000}"/>
    <cellStyle name="Accent3 98" xfId="4917" xr:uid="{00000000-0005-0000-0000-000035130000}"/>
    <cellStyle name="Accent3 98 2" xfId="4918" xr:uid="{00000000-0005-0000-0000-000036130000}"/>
    <cellStyle name="Accent3 98 2 2" xfId="4919" xr:uid="{00000000-0005-0000-0000-000037130000}"/>
    <cellStyle name="Accent3 98 3" xfId="4920" xr:uid="{00000000-0005-0000-0000-000038130000}"/>
    <cellStyle name="Accent3 99" xfId="4921" xr:uid="{00000000-0005-0000-0000-000039130000}"/>
    <cellStyle name="Accent3 99 2" xfId="4922" xr:uid="{00000000-0005-0000-0000-00003A130000}"/>
    <cellStyle name="Accent3 99 2 2" xfId="4923" xr:uid="{00000000-0005-0000-0000-00003B130000}"/>
    <cellStyle name="Accent3 99 3" xfId="4924" xr:uid="{00000000-0005-0000-0000-00003C130000}"/>
    <cellStyle name="Accent4 - 20%" xfId="4925" xr:uid="{00000000-0005-0000-0000-00003D130000}"/>
    <cellStyle name="Accent4 - 20% 10" xfId="4926" xr:uid="{00000000-0005-0000-0000-00003E130000}"/>
    <cellStyle name="Accent4 - 20% 11" xfId="4927" xr:uid="{00000000-0005-0000-0000-00003F130000}"/>
    <cellStyle name="Accent4 - 20% 2" xfId="4928" xr:uid="{00000000-0005-0000-0000-000040130000}"/>
    <cellStyle name="Accent4 - 20% 2 2" xfId="4929" xr:uid="{00000000-0005-0000-0000-000041130000}"/>
    <cellStyle name="Accent4 - 20% 2 2 2" xfId="4930" xr:uid="{00000000-0005-0000-0000-000042130000}"/>
    <cellStyle name="Accent4 - 20% 2 2 2 2" xfId="4931" xr:uid="{00000000-0005-0000-0000-000043130000}"/>
    <cellStyle name="Accent4 - 20% 2 2 3" xfId="4932" xr:uid="{00000000-0005-0000-0000-000044130000}"/>
    <cellStyle name="Accent4 - 20% 2 3" xfId="4933" xr:uid="{00000000-0005-0000-0000-000045130000}"/>
    <cellStyle name="Accent4 - 20% 2 3 2" xfId="4934" xr:uid="{00000000-0005-0000-0000-000046130000}"/>
    <cellStyle name="Accent4 - 20% 2 3 2 2" xfId="4935" xr:uid="{00000000-0005-0000-0000-000047130000}"/>
    <cellStyle name="Accent4 - 20% 2 3 2 2 2" xfId="4936" xr:uid="{00000000-0005-0000-0000-000048130000}"/>
    <cellStyle name="Accent4 - 20% 2 3 2 3" xfId="4937" xr:uid="{00000000-0005-0000-0000-000049130000}"/>
    <cellStyle name="Accent4 - 20% 2 3 3" xfId="4938" xr:uid="{00000000-0005-0000-0000-00004A130000}"/>
    <cellStyle name="Accent4 - 20% 2 3 3 2" xfId="4939" xr:uid="{00000000-0005-0000-0000-00004B130000}"/>
    <cellStyle name="Accent4 - 20% 2 3 4" xfId="4940" xr:uid="{00000000-0005-0000-0000-00004C130000}"/>
    <cellStyle name="Accent4 - 20% 2 4" xfId="4941" xr:uid="{00000000-0005-0000-0000-00004D130000}"/>
    <cellStyle name="Accent4 - 20% 2 4 2" xfId="4942" xr:uid="{00000000-0005-0000-0000-00004E130000}"/>
    <cellStyle name="Accent4 - 20% 2 4 2 2" xfId="4943" xr:uid="{00000000-0005-0000-0000-00004F130000}"/>
    <cellStyle name="Accent4 - 20% 2 4 2 2 2" xfId="4944" xr:uid="{00000000-0005-0000-0000-000050130000}"/>
    <cellStyle name="Accent4 - 20% 2 4 2 3" xfId="4945" xr:uid="{00000000-0005-0000-0000-000051130000}"/>
    <cellStyle name="Accent4 - 20% 2 4 3" xfId="4946" xr:uid="{00000000-0005-0000-0000-000052130000}"/>
    <cellStyle name="Accent4 - 20% 2 4 3 2" xfId="4947" xr:uid="{00000000-0005-0000-0000-000053130000}"/>
    <cellStyle name="Accent4 - 20% 2 4 4" xfId="4948" xr:uid="{00000000-0005-0000-0000-000054130000}"/>
    <cellStyle name="Accent4 - 20% 2 5" xfId="4949" xr:uid="{00000000-0005-0000-0000-000055130000}"/>
    <cellStyle name="Accent4 - 20% 2 5 2" xfId="4950" xr:uid="{00000000-0005-0000-0000-000056130000}"/>
    <cellStyle name="Accent4 - 20% 2 6" xfId="4951" xr:uid="{00000000-0005-0000-0000-000057130000}"/>
    <cellStyle name="Accent4 - 20% 2 6 2" xfId="4952" xr:uid="{00000000-0005-0000-0000-000058130000}"/>
    <cellStyle name="Accent4 - 20% 2 7" xfId="4953" xr:uid="{00000000-0005-0000-0000-000059130000}"/>
    <cellStyle name="Accent4 - 20% 3" xfId="4954" xr:uid="{00000000-0005-0000-0000-00005A130000}"/>
    <cellStyle name="Accent4 - 20% 3 2" xfId="4955" xr:uid="{00000000-0005-0000-0000-00005B130000}"/>
    <cellStyle name="Accent4 - 20% 3 2 2" xfId="4956" xr:uid="{00000000-0005-0000-0000-00005C130000}"/>
    <cellStyle name="Accent4 - 20% 3 2 2 2" xfId="4957" xr:uid="{00000000-0005-0000-0000-00005D130000}"/>
    <cellStyle name="Accent4 - 20% 3 2 3" xfId="4958" xr:uid="{00000000-0005-0000-0000-00005E130000}"/>
    <cellStyle name="Accent4 - 20% 3 3" xfId="4959" xr:uid="{00000000-0005-0000-0000-00005F130000}"/>
    <cellStyle name="Accent4 - 20% 3 3 2" xfId="4960" xr:uid="{00000000-0005-0000-0000-000060130000}"/>
    <cellStyle name="Accent4 - 20% 3 4" xfId="4961" xr:uid="{00000000-0005-0000-0000-000061130000}"/>
    <cellStyle name="Accent4 - 20% 4" xfId="4962" xr:uid="{00000000-0005-0000-0000-000062130000}"/>
    <cellStyle name="Accent4 - 20% 4 2" xfId="4963" xr:uid="{00000000-0005-0000-0000-000063130000}"/>
    <cellStyle name="Accent4 - 20% 4 2 2" xfId="4964" xr:uid="{00000000-0005-0000-0000-000064130000}"/>
    <cellStyle name="Accent4 - 20% 4 3" xfId="4965" xr:uid="{00000000-0005-0000-0000-000065130000}"/>
    <cellStyle name="Accent4 - 20% 5" xfId="4966" xr:uid="{00000000-0005-0000-0000-000066130000}"/>
    <cellStyle name="Accent4 - 20% 5 2" xfId="4967" xr:uid="{00000000-0005-0000-0000-000067130000}"/>
    <cellStyle name="Accent4 - 20% 5 2 2" xfId="4968" xr:uid="{00000000-0005-0000-0000-000068130000}"/>
    <cellStyle name="Accent4 - 20% 5 3" xfId="4969" xr:uid="{00000000-0005-0000-0000-000069130000}"/>
    <cellStyle name="Accent4 - 20% 6" xfId="4970" xr:uid="{00000000-0005-0000-0000-00006A130000}"/>
    <cellStyle name="Accent4 - 20% 6 2" xfId="4971" xr:uid="{00000000-0005-0000-0000-00006B130000}"/>
    <cellStyle name="Accent4 - 20% 7" xfId="4972" xr:uid="{00000000-0005-0000-0000-00006C130000}"/>
    <cellStyle name="Accent4 - 20% 7 2" xfId="4973" xr:uid="{00000000-0005-0000-0000-00006D130000}"/>
    <cellStyle name="Accent4 - 20% 8" xfId="4974" xr:uid="{00000000-0005-0000-0000-00006E130000}"/>
    <cellStyle name="Accent4 - 20% 8 2" xfId="4975" xr:uid="{00000000-0005-0000-0000-00006F130000}"/>
    <cellStyle name="Accent4 - 20% 9" xfId="4976" xr:uid="{00000000-0005-0000-0000-000070130000}"/>
    <cellStyle name="Accent4 - 20% 9 2" xfId="4977" xr:uid="{00000000-0005-0000-0000-000071130000}"/>
    <cellStyle name="Accent4 - 40%" xfId="4978" xr:uid="{00000000-0005-0000-0000-000072130000}"/>
    <cellStyle name="Accent4 - 40% 10" xfId="4979" xr:uid="{00000000-0005-0000-0000-000073130000}"/>
    <cellStyle name="Accent4 - 40% 11" xfId="4980" xr:uid="{00000000-0005-0000-0000-000074130000}"/>
    <cellStyle name="Accent4 - 40% 2" xfId="4981" xr:uid="{00000000-0005-0000-0000-000075130000}"/>
    <cellStyle name="Accent4 - 40% 2 2" xfId="4982" xr:uid="{00000000-0005-0000-0000-000076130000}"/>
    <cellStyle name="Accent4 - 40% 2 2 2" xfId="4983" xr:uid="{00000000-0005-0000-0000-000077130000}"/>
    <cellStyle name="Accent4 - 40% 2 2 2 2" xfId="4984" xr:uid="{00000000-0005-0000-0000-000078130000}"/>
    <cellStyle name="Accent4 - 40% 2 2 3" xfId="4985" xr:uid="{00000000-0005-0000-0000-000079130000}"/>
    <cellStyle name="Accent4 - 40% 2 3" xfId="4986" xr:uid="{00000000-0005-0000-0000-00007A130000}"/>
    <cellStyle name="Accent4 - 40% 2 3 2" xfId="4987" xr:uid="{00000000-0005-0000-0000-00007B130000}"/>
    <cellStyle name="Accent4 - 40% 2 3 2 2" xfId="4988" xr:uid="{00000000-0005-0000-0000-00007C130000}"/>
    <cellStyle name="Accent4 - 40% 2 3 2 2 2" xfId="4989" xr:uid="{00000000-0005-0000-0000-00007D130000}"/>
    <cellStyle name="Accent4 - 40% 2 3 2 3" xfId="4990" xr:uid="{00000000-0005-0000-0000-00007E130000}"/>
    <cellStyle name="Accent4 - 40% 2 3 3" xfId="4991" xr:uid="{00000000-0005-0000-0000-00007F130000}"/>
    <cellStyle name="Accent4 - 40% 2 3 3 2" xfId="4992" xr:uid="{00000000-0005-0000-0000-000080130000}"/>
    <cellStyle name="Accent4 - 40% 2 3 4" xfId="4993" xr:uid="{00000000-0005-0000-0000-000081130000}"/>
    <cellStyle name="Accent4 - 40% 2 4" xfId="4994" xr:uid="{00000000-0005-0000-0000-000082130000}"/>
    <cellStyle name="Accent4 - 40% 2 4 2" xfId="4995" xr:uid="{00000000-0005-0000-0000-000083130000}"/>
    <cellStyle name="Accent4 - 40% 2 4 2 2" xfId="4996" xr:uid="{00000000-0005-0000-0000-000084130000}"/>
    <cellStyle name="Accent4 - 40% 2 4 2 2 2" xfId="4997" xr:uid="{00000000-0005-0000-0000-000085130000}"/>
    <cellStyle name="Accent4 - 40% 2 4 2 3" xfId="4998" xr:uid="{00000000-0005-0000-0000-000086130000}"/>
    <cellStyle name="Accent4 - 40% 2 4 3" xfId="4999" xr:uid="{00000000-0005-0000-0000-000087130000}"/>
    <cellStyle name="Accent4 - 40% 2 4 3 2" xfId="5000" xr:uid="{00000000-0005-0000-0000-000088130000}"/>
    <cellStyle name="Accent4 - 40% 2 4 4" xfId="5001" xr:uid="{00000000-0005-0000-0000-000089130000}"/>
    <cellStyle name="Accent4 - 40% 2 5" xfId="5002" xr:uid="{00000000-0005-0000-0000-00008A130000}"/>
    <cellStyle name="Accent4 - 40% 2 5 2" xfId="5003" xr:uid="{00000000-0005-0000-0000-00008B130000}"/>
    <cellStyle name="Accent4 - 40% 2 6" xfId="5004" xr:uid="{00000000-0005-0000-0000-00008C130000}"/>
    <cellStyle name="Accent4 - 40% 2 6 2" xfId="5005" xr:uid="{00000000-0005-0000-0000-00008D130000}"/>
    <cellStyle name="Accent4 - 40% 2 7" xfId="5006" xr:uid="{00000000-0005-0000-0000-00008E130000}"/>
    <cellStyle name="Accent4 - 40% 3" xfId="5007" xr:uid="{00000000-0005-0000-0000-00008F130000}"/>
    <cellStyle name="Accent4 - 40% 3 2" xfId="5008" xr:uid="{00000000-0005-0000-0000-000090130000}"/>
    <cellStyle name="Accent4 - 40% 3 2 2" xfId="5009" xr:uid="{00000000-0005-0000-0000-000091130000}"/>
    <cellStyle name="Accent4 - 40% 3 2 2 2" xfId="5010" xr:uid="{00000000-0005-0000-0000-000092130000}"/>
    <cellStyle name="Accent4 - 40% 3 2 3" xfId="5011" xr:uid="{00000000-0005-0000-0000-000093130000}"/>
    <cellStyle name="Accent4 - 40% 3 3" xfId="5012" xr:uid="{00000000-0005-0000-0000-000094130000}"/>
    <cellStyle name="Accent4 - 40% 3 3 2" xfId="5013" xr:uid="{00000000-0005-0000-0000-000095130000}"/>
    <cellStyle name="Accent4 - 40% 3 4" xfId="5014" xr:uid="{00000000-0005-0000-0000-000096130000}"/>
    <cellStyle name="Accent4 - 40% 4" xfId="5015" xr:uid="{00000000-0005-0000-0000-000097130000}"/>
    <cellStyle name="Accent4 - 40% 4 2" xfId="5016" xr:uid="{00000000-0005-0000-0000-000098130000}"/>
    <cellStyle name="Accent4 - 40% 4 2 2" xfId="5017" xr:uid="{00000000-0005-0000-0000-000099130000}"/>
    <cellStyle name="Accent4 - 40% 4 3" xfId="5018" xr:uid="{00000000-0005-0000-0000-00009A130000}"/>
    <cellStyle name="Accent4 - 40% 5" xfId="5019" xr:uid="{00000000-0005-0000-0000-00009B130000}"/>
    <cellStyle name="Accent4 - 40% 5 2" xfId="5020" xr:uid="{00000000-0005-0000-0000-00009C130000}"/>
    <cellStyle name="Accent4 - 40% 5 2 2" xfId="5021" xr:uid="{00000000-0005-0000-0000-00009D130000}"/>
    <cellStyle name="Accent4 - 40% 5 3" xfId="5022" xr:uid="{00000000-0005-0000-0000-00009E130000}"/>
    <cellStyle name="Accent4 - 40% 6" xfId="5023" xr:uid="{00000000-0005-0000-0000-00009F130000}"/>
    <cellStyle name="Accent4 - 40% 6 2" xfId="5024" xr:uid="{00000000-0005-0000-0000-0000A0130000}"/>
    <cellStyle name="Accent4 - 40% 7" xfId="5025" xr:uid="{00000000-0005-0000-0000-0000A1130000}"/>
    <cellStyle name="Accent4 - 40% 7 2" xfId="5026" xr:uid="{00000000-0005-0000-0000-0000A2130000}"/>
    <cellStyle name="Accent4 - 40% 8" xfId="5027" xr:uid="{00000000-0005-0000-0000-0000A3130000}"/>
    <cellStyle name="Accent4 - 40% 8 2" xfId="5028" xr:uid="{00000000-0005-0000-0000-0000A4130000}"/>
    <cellStyle name="Accent4 - 40% 9" xfId="5029" xr:uid="{00000000-0005-0000-0000-0000A5130000}"/>
    <cellStyle name="Accent4 - 40% 9 2" xfId="5030" xr:uid="{00000000-0005-0000-0000-0000A6130000}"/>
    <cellStyle name="Accent4 - 60%" xfId="5031" xr:uid="{00000000-0005-0000-0000-0000A7130000}"/>
    <cellStyle name="Accent4 - 60% 10" xfId="5032" xr:uid="{00000000-0005-0000-0000-0000A8130000}"/>
    <cellStyle name="Accent4 - 60% 2" xfId="5033" xr:uid="{00000000-0005-0000-0000-0000A9130000}"/>
    <cellStyle name="Accent4 - 60% 2 2" xfId="5034" xr:uid="{00000000-0005-0000-0000-0000AA130000}"/>
    <cellStyle name="Accent4 - 60% 2 2 2" xfId="5035" xr:uid="{00000000-0005-0000-0000-0000AB130000}"/>
    <cellStyle name="Accent4 - 60% 2 3" xfId="5036" xr:uid="{00000000-0005-0000-0000-0000AC130000}"/>
    <cellStyle name="Accent4 - 60% 2 3 2" xfId="5037" xr:uid="{00000000-0005-0000-0000-0000AD130000}"/>
    <cellStyle name="Accent4 - 60% 2 3 2 2" xfId="5038" xr:uid="{00000000-0005-0000-0000-0000AE130000}"/>
    <cellStyle name="Accent4 - 60% 2 3 3" xfId="5039" xr:uid="{00000000-0005-0000-0000-0000AF130000}"/>
    <cellStyle name="Accent4 - 60% 2 4" xfId="5040" xr:uid="{00000000-0005-0000-0000-0000B0130000}"/>
    <cellStyle name="Accent4 - 60% 2 4 2" xfId="5041" xr:uid="{00000000-0005-0000-0000-0000B1130000}"/>
    <cellStyle name="Accent4 - 60% 2 4 2 2" xfId="5042" xr:uid="{00000000-0005-0000-0000-0000B2130000}"/>
    <cellStyle name="Accent4 - 60% 2 4 3" xfId="5043" xr:uid="{00000000-0005-0000-0000-0000B3130000}"/>
    <cellStyle name="Accent4 - 60% 2 5" xfId="5044" xr:uid="{00000000-0005-0000-0000-0000B4130000}"/>
    <cellStyle name="Accent4 - 60% 3" xfId="5045" xr:uid="{00000000-0005-0000-0000-0000B5130000}"/>
    <cellStyle name="Accent4 - 60% 3 2" xfId="5046" xr:uid="{00000000-0005-0000-0000-0000B6130000}"/>
    <cellStyle name="Accent4 - 60% 3 2 2" xfId="5047" xr:uid="{00000000-0005-0000-0000-0000B7130000}"/>
    <cellStyle name="Accent4 - 60% 3 3" xfId="5048" xr:uid="{00000000-0005-0000-0000-0000B8130000}"/>
    <cellStyle name="Accent4 - 60% 4" xfId="5049" xr:uid="{00000000-0005-0000-0000-0000B9130000}"/>
    <cellStyle name="Accent4 - 60% 4 2" xfId="5050" xr:uid="{00000000-0005-0000-0000-0000BA130000}"/>
    <cellStyle name="Accent4 - 60% 5" xfId="5051" xr:uid="{00000000-0005-0000-0000-0000BB130000}"/>
    <cellStyle name="Accent4 - 60% 5 2" xfId="5052" xr:uid="{00000000-0005-0000-0000-0000BC130000}"/>
    <cellStyle name="Accent4 - 60% 6" xfId="5053" xr:uid="{00000000-0005-0000-0000-0000BD130000}"/>
    <cellStyle name="Accent4 - 60% 6 2" xfId="5054" xr:uid="{00000000-0005-0000-0000-0000BE130000}"/>
    <cellStyle name="Accent4 - 60% 6 2 2" xfId="5055" xr:uid="{00000000-0005-0000-0000-0000BF130000}"/>
    <cellStyle name="Accent4 - 60% 6 3" xfId="5056" xr:uid="{00000000-0005-0000-0000-0000C0130000}"/>
    <cellStyle name="Accent4 - 60% 7" xfId="5057" xr:uid="{00000000-0005-0000-0000-0000C1130000}"/>
    <cellStyle name="Accent4 - 60% 7 2" xfId="5058" xr:uid="{00000000-0005-0000-0000-0000C2130000}"/>
    <cellStyle name="Accent4 - 60% 8" xfId="5059" xr:uid="{00000000-0005-0000-0000-0000C3130000}"/>
    <cellStyle name="Accent4 - 60% 8 2" xfId="5060" xr:uid="{00000000-0005-0000-0000-0000C4130000}"/>
    <cellStyle name="Accent4 - 60% 9" xfId="5061" xr:uid="{00000000-0005-0000-0000-0000C5130000}"/>
    <cellStyle name="Accent4 10" xfId="5062" xr:uid="{00000000-0005-0000-0000-0000C6130000}"/>
    <cellStyle name="Accent4 10 2" xfId="5063" xr:uid="{00000000-0005-0000-0000-0000C7130000}"/>
    <cellStyle name="Accent4 10 2 2" xfId="5064" xr:uid="{00000000-0005-0000-0000-0000C8130000}"/>
    <cellStyle name="Accent4 10 3" xfId="5065" xr:uid="{00000000-0005-0000-0000-0000C9130000}"/>
    <cellStyle name="Accent4 100" xfId="5066" xr:uid="{00000000-0005-0000-0000-0000CA130000}"/>
    <cellStyle name="Accent4 100 2" xfId="5067" xr:uid="{00000000-0005-0000-0000-0000CB130000}"/>
    <cellStyle name="Accent4 100 2 2" xfId="5068" xr:uid="{00000000-0005-0000-0000-0000CC130000}"/>
    <cellStyle name="Accent4 100 3" xfId="5069" xr:uid="{00000000-0005-0000-0000-0000CD130000}"/>
    <cellStyle name="Accent4 101" xfId="5070" xr:uid="{00000000-0005-0000-0000-0000CE130000}"/>
    <cellStyle name="Accent4 101 2" xfId="5071" xr:uid="{00000000-0005-0000-0000-0000CF130000}"/>
    <cellStyle name="Accent4 101 2 2" xfId="5072" xr:uid="{00000000-0005-0000-0000-0000D0130000}"/>
    <cellStyle name="Accent4 101 3" xfId="5073" xr:uid="{00000000-0005-0000-0000-0000D1130000}"/>
    <cellStyle name="Accent4 102" xfId="5074" xr:uid="{00000000-0005-0000-0000-0000D2130000}"/>
    <cellStyle name="Accent4 102 2" xfId="5075" xr:uid="{00000000-0005-0000-0000-0000D3130000}"/>
    <cellStyle name="Accent4 103" xfId="5076" xr:uid="{00000000-0005-0000-0000-0000D4130000}"/>
    <cellStyle name="Accent4 103 2" xfId="5077" xr:uid="{00000000-0005-0000-0000-0000D5130000}"/>
    <cellStyle name="Accent4 104" xfId="5078" xr:uid="{00000000-0005-0000-0000-0000D6130000}"/>
    <cellStyle name="Accent4 104 2" xfId="5079" xr:uid="{00000000-0005-0000-0000-0000D7130000}"/>
    <cellStyle name="Accent4 104 2 2" xfId="5080" xr:uid="{00000000-0005-0000-0000-0000D8130000}"/>
    <cellStyle name="Accent4 104 3" xfId="5081" xr:uid="{00000000-0005-0000-0000-0000D9130000}"/>
    <cellStyle name="Accent4 105" xfId="5082" xr:uid="{00000000-0005-0000-0000-0000DA130000}"/>
    <cellStyle name="Accent4 105 2" xfId="5083" xr:uid="{00000000-0005-0000-0000-0000DB130000}"/>
    <cellStyle name="Accent4 105 2 2" xfId="5084" xr:uid="{00000000-0005-0000-0000-0000DC130000}"/>
    <cellStyle name="Accent4 105 3" xfId="5085" xr:uid="{00000000-0005-0000-0000-0000DD130000}"/>
    <cellStyle name="Accent4 106" xfId="5086" xr:uid="{00000000-0005-0000-0000-0000DE130000}"/>
    <cellStyle name="Accent4 106 2" xfId="5087" xr:uid="{00000000-0005-0000-0000-0000DF130000}"/>
    <cellStyle name="Accent4 106 2 2" xfId="5088" xr:uid="{00000000-0005-0000-0000-0000E0130000}"/>
    <cellStyle name="Accent4 106 3" xfId="5089" xr:uid="{00000000-0005-0000-0000-0000E1130000}"/>
    <cellStyle name="Accent4 107" xfId="5090" xr:uid="{00000000-0005-0000-0000-0000E2130000}"/>
    <cellStyle name="Accent4 107 2" xfId="5091" xr:uid="{00000000-0005-0000-0000-0000E3130000}"/>
    <cellStyle name="Accent4 107 2 2" xfId="5092" xr:uid="{00000000-0005-0000-0000-0000E4130000}"/>
    <cellStyle name="Accent4 107 3" xfId="5093" xr:uid="{00000000-0005-0000-0000-0000E5130000}"/>
    <cellStyle name="Accent4 108" xfId="5094" xr:uid="{00000000-0005-0000-0000-0000E6130000}"/>
    <cellStyle name="Accent4 108 2" xfId="5095" xr:uid="{00000000-0005-0000-0000-0000E7130000}"/>
    <cellStyle name="Accent4 108 2 2" xfId="5096" xr:uid="{00000000-0005-0000-0000-0000E8130000}"/>
    <cellStyle name="Accent4 108 3" xfId="5097" xr:uid="{00000000-0005-0000-0000-0000E9130000}"/>
    <cellStyle name="Accent4 109" xfId="5098" xr:uid="{00000000-0005-0000-0000-0000EA130000}"/>
    <cellStyle name="Accent4 109 2" xfId="5099" xr:uid="{00000000-0005-0000-0000-0000EB130000}"/>
    <cellStyle name="Accent4 109 2 2" xfId="5100" xr:uid="{00000000-0005-0000-0000-0000EC130000}"/>
    <cellStyle name="Accent4 109 3" xfId="5101" xr:uid="{00000000-0005-0000-0000-0000ED130000}"/>
    <cellStyle name="Accent4 11" xfId="5102" xr:uid="{00000000-0005-0000-0000-0000EE130000}"/>
    <cellStyle name="Accent4 11 2" xfId="5103" xr:uid="{00000000-0005-0000-0000-0000EF130000}"/>
    <cellStyle name="Accent4 11 2 2" xfId="5104" xr:uid="{00000000-0005-0000-0000-0000F0130000}"/>
    <cellStyle name="Accent4 11 3" xfId="5105" xr:uid="{00000000-0005-0000-0000-0000F1130000}"/>
    <cellStyle name="Accent4 110" xfId="5106" xr:uid="{00000000-0005-0000-0000-0000F2130000}"/>
    <cellStyle name="Accent4 110 2" xfId="5107" xr:uid="{00000000-0005-0000-0000-0000F3130000}"/>
    <cellStyle name="Accent4 110 2 2" xfId="5108" xr:uid="{00000000-0005-0000-0000-0000F4130000}"/>
    <cellStyle name="Accent4 110 3" xfId="5109" xr:uid="{00000000-0005-0000-0000-0000F5130000}"/>
    <cellStyle name="Accent4 111" xfId="5110" xr:uid="{00000000-0005-0000-0000-0000F6130000}"/>
    <cellStyle name="Accent4 111 2" xfId="5111" xr:uid="{00000000-0005-0000-0000-0000F7130000}"/>
    <cellStyle name="Accent4 111 2 2" xfId="5112" xr:uid="{00000000-0005-0000-0000-0000F8130000}"/>
    <cellStyle name="Accent4 111 3" xfId="5113" xr:uid="{00000000-0005-0000-0000-0000F9130000}"/>
    <cellStyle name="Accent4 112" xfId="5114" xr:uid="{00000000-0005-0000-0000-0000FA130000}"/>
    <cellStyle name="Accent4 112 2" xfId="5115" xr:uid="{00000000-0005-0000-0000-0000FB130000}"/>
    <cellStyle name="Accent4 112 2 2" xfId="5116" xr:uid="{00000000-0005-0000-0000-0000FC130000}"/>
    <cellStyle name="Accent4 112 3" xfId="5117" xr:uid="{00000000-0005-0000-0000-0000FD130000}"/>
    <cellStyle name="Accent4 113" xfId="5118" xr:uid="{00000000-0005-0000-0000-0000FE130000}"/>
    <cellStyle name="Accent4 113 2" xfId="5119" xr:uid="{00000000-0005-0000-0000-0000FF130000}"/>
    <cellStyle name="Accent4 113 2 2" xfId="5120" xr:uid="{00000000-0005-0000-0000-000000140000}"/>
    <cellStyle name="Accent4 113 3" xfId="5121" xr:uid="{00000000-0005-0000-0000-000001140000}"/>
    <cellStyle name="Accent4 114" xfId="5122" xr:uid="{00000000-0005-0000-0000-000002140000}"/>
    <cellStyle name="Accent4 114 2" xfId="5123" xr:uid="{00000000-0005-0000-0000-000003140000}"/>
    <cellStyle name="Accent4 115" xfId="5124" xr:uid="{00000000-0005-0000-0000-000004140000}"/>
    <cellStyle name="Accent4 115 2" xfId="5125" xr:uid="{00000000-0005-0000-0000-000005140000}"/>
    <cellStyle name="Accent4 116" xfId="5126" xr:uid="{00000000-0005-0000-0000-000006140000}"/>
    <cellStyle name="Accent4 116 2" xfId="5127" xr:uid="{00000000-0005-0000-0000-000007140000}"/>
    <cellStyle name="Accent4 117" xfId="5128" xr:uid="{00000000-0005-0000-0000-000008140000}"/>
    <cellStyle name="Accent4 117 2" xfId="5129" xr:uid="{00000000-0005-0000-0000-000009140000}"/>
    <cellStyle name="Accent4 118" xfId="5130" xr:uid="{00000000-0005-0000-0000-00000A140000}"/>
    <cellStyle name="Accent4 118 2" xfId="5131" xr:uid="{00000000-0005-0000-0000-00000B140000}"/>
    <cellStyle name="Accent4 119" xfId="5132" xr:uid="{00000000-0005-0000-0000-00000C140000}"/>
    <cellStyle name="Accent4 119 2" xfId="5133" xr:uid="{00000000-0005-0000-0000-00000D140000}"/>
    <cellStyle name="Accent4 12" xfId="5134" xr:uid="{00000000-0005-0000-0000-00000E140000}"/>
    <cellStyle name="Accent4 12 2" xfId="5135" xr:uid="{00000000-0005-0000-0000-00000F140000}"/>
    <cellStyle name="Accent4 12 2 2" xfId="5136" xr:uid="{00000000-0005-0000-0000-000010140000}"/>
    <cellStyle name="Accent4 12 3" xfId="5137" xr:uid="{00000000-0005-0000-0000-000011140000}"/>
    <cellStyle name="Accent4 120" xfId="5138" xr:uid="{00000000-0005-0000-0000-000012140000}"/>
    <cellStyle name="Accent4 120 2" xfId="5139" xr:uid="{00000000-0005-0000-0000-000013140000}"/>
    <cellStyle name="Accent4 121" xfId="5140" xr:uid="{00000000-0005-0000-0000-000014140000}"/>
    <cellStyle name="Accent4 121 2" xfId="5141" xr:uid="{00000000-0005-0000-0000-000015140000}"/>
    <cellStyle name="Accent4 122" xfId="5142" xr:uid="{00000000-0005-0000-0000-000016140000}"/>
    <cellStyle name="Accent4 122 2" xfId="5143" xr:uid="{00000000-0005-0000-0000-000017140000}"/>
    <cellStyle name="Accent4 123" xfId="5144" xr:uid="{00000000-0005-0000-0000-000018140000}"/>
    <cellStyle name="Accent4 123 2" xfId="5145" xr:uid="{00000000-0005-0000-0000-000019140000}"/>
    <cellStyle name="Accent4 124" xfId="5146" xr:uid="{00000000-0005-0000-0000-00001A140000}"/>
    <cellStyle name="Accent4 124 2" xfId="5147" xr:uid="{00000000-0005-0000-0000-00001B140000}"/>
    <cellStyle name="Accent4 125" xfId="5148" xr:uid="{00000000-0005-0000-0000-00001C140000}"/>
    <cellStyle name="Accent4 125 2" xfId="5149" xr:uid="{00000000-0005-0000-0000-00001D140000}"/>
    <cellStyle name="Accent4 126" xfId="5150" xr:uid="{00000000-0005-0000-0000-00001E140000}"/>
    <cellStyle name="Accent4 127" xfId="5151" xr:uid="{00000000-0005-0000-0000-00001F140000}"/>
    <cellStyle name="Accent4 128" xfId="5152" xr:uid="{00000000-0005-0000-0000-000020140000}"/>
    <cellStyle name="Accent4 129" xfId="5153" xr:uid="{00000000-0005-0000-0000-000021140000}"/>
    <cellStyle name="Accent4 13" xfId="5154" xr:uid="{00000000-0005-0000-0000-000022140000}"/>
    <cellStyle name="Accent4 13 2" xfId="5155" xr:uid="{00000000-0005-0000-0000-000023140000}"/>
    <cellStyle name="Accent4 13 2 2" xfId="5156" xr:uid="{00000000-0005-0000-0000-000024140000}"/>
    <cellStyle name="Accent4 13 3" xfId="5157" xr:uid="{00000000-0005-0000-0000-000025140000}"/>
    <cellStyle name="Accent4 130" xfId="5158" xr:uid="{00000000-0005-0000-0000-000026140000}"/>
    <cellStyle name="Accent4 131" xfId="5159" xr:uid="{00000000-0005-0000-0000-000027140000}"/>
    <cellStyle name="Accent4 132" xfId="5160" xr:uid="{00000000-0005-0000-0000-000028140000}"/>
    <cellStyle name="Accent4 133" xfId="5161" xr:uid="{00000000-0005-0000-0000-000029140000}"/>
    <cellStyle name="Accent4 134" xfId="5162" xr:uid="{00000000-0005-0000-0000-00002A140000}"/>
    <cellStyle name="Accent4 135" xfId="5163" xr:uid="{00000000-0005-0000-0000-00002B140000}"/>
    <cellStyle name="Accent4 136" xfId="5164" xr:uid="{00000000-0005-0000-0000-00002C140000}"/>
    <cellStyle name="Accent4 137" xfId="5165" xr:uid="{00000000-0005-0000-0000-00002D140000}"/>
    <cellStyle name="Accent4 138" xfId="5166" xr:uid="{00000000-0005-0000-0000-00002E140000}"/>
    <cellStyle name="Accent4 139" xfId="5167" xr:uid="{00000000-0005-0000-0000-00002F140000}"/>
    <cellStyle name="Accent4 14" xfId="5168" xr:uid="{00000000-0005-0000-0000-000030140000}"/>
    <cellStyle name="Accent4 14 2" xfId="5169" xr:uid="{00000000-0005-0000-0000-000031140000}"/>
    <cellStyle name="Accent4 14 2 2" xfId="5170" xr:uid="{00000000-0005-0000-0000-000032140000}"/>
    <cellStyle name="Accent4 14 3" xfId="5171" xr:uid="{00000000-0005-0000-0000-000033140000}"/>
    <cellStyle name="Accent4 140" xfId="5172" xr:uid="{00000000-0005-0000-0000-000034140000}"/>
    <cellStyle name="Accent4 141" xfId="5173" xr:uid="{00000000-0005-0000-0000-000035140000}"/>
    <cellStyle name="Accent4 142" xfId="5174" xr:uid="{00000000-0005-0000-0000-000036140000}"/>
    <cellStyle name="Accent4 143" xfId="5175" xr:uid="{00000000-0005-0000-0000-000037140000}"/>
    <cellStyle name="Accent4 144" xfId="5176" xr:uid="{00000000-0005-0000-0000-000038140000}"/>
    <cellStyle name="Accent4 145" xfId="5177" xr:uid="{00000000-0005-0000-0000-000039140000}"/>
    <cellStyle name="Accent4 146" xfId="5178" xr:uid="{00000000-0005-0000-0000-00003A140000}"/>
    <cellStyle name="Accent4 147" xfId="5179" xr:uid="{00000000-0005-0000-0000-00003B140000}"/>
    <cellStyle name="Accent4 148" xfId="5180" xr:uid="{00000000-0005-0000-0000-00003C140000}"/>
    <cellStyle name="Accent4 149" xfId="5181" xr:uid="{00000000-0005-0000-0000-00003D140000}"/>
    <cellStyle name="Accent4 15" xfId="5182" xr:uid="{00000000-0005-0000-0000-00003E140000}"/>
    <cellStyle name="Accent4 15 2" xfId="5183" xr:uid="{00000000-0005-0000-0000-00003F140000}"/>
    <cellStyle name="Accent4 15 2 2" xfId="5184" xr:uid="{00000000-0005-0000-0000-000040140000}"/>
    <cellStyle name="Accent4 15 3" xfId="5185" xr:uid="{00000000-0005-0000-0000-000041140000}"/>
    <cellStyle name="Accent4 150" xfId="5186" xr:uid="{00000000-0005-0000-0000-000042140000}"/>
    <cellStyle name="Accent4 151" xfId="5187" xr:uid="{00000000-0005-0000-0000-000043140000}"/>
    <cellStyle name="Accent4 152" xfId="5188" xr:uid="{00000000-0005-0000-0000-000044140000}"/>
    <cellStyle name="Accent4 153" xfId="5189" xr:uid="{00000000-0005-0000-0000-000045140000}"/>
    <cellStyle name="Accent4 154" xfId="5190" xr:uid="{00000000-0005-0000-0000-000046140000}"/>
    <cellStyle name="Accent4 155" xfId="5191" xr:uid="{00000000-0005-0000-0000-000047140000}"/>
    <cellStyle name="Accent4 156" xfId="5192" xr:uid="{00000000-0005-0000-0000-000048140000}"/>
    <cellStyle name="Accent4 157" xfId="5193" xr:uid="{00000000-0005-0000-0000-000049140000}"/>
    <cellStyle name="Accent4 158" xfId="5194" xr:uid="{00000000-0005-0000-0000-00004A140000}"/>
    <cellStyle name="Accent4 159" xfId="5195" xr:uid="{00000000-0005-0000-0000-00004B140000}"/>
    <cellStyle name="Accent4 16" xfId="5196" xr:uid="{00000000-0005-0000-0000-00004C140000}"/>
    <cellStyle name="Accent4 16 2" xfId="5197" xr:uid="{00000000-0005-0000-0000-00004D140000}"/>
    <cellStyle name="Accent4 16 2 2" xfId="5198" xr:uid="{00000000-0005-0000-0000-00004E140000}"/>
    <cellStyle name="Accent4 16 3" xfId="5199" xr:uid="{00000000-0005-0000-0000-00004F140000}"/>
    <cellStyle name="Accent4 160" xfId="5200" xr:uid="{00000000-0005-0000-0000-000050140000}"/>
    <cellStyle name="Accent4 161" xfId="5201" xr:uid="{00000000-0005-0000-0000-000051140000}"/>
    <cellStyle name="Accent4 162" xfId="5202" xr:uid="{00000000-0005-0000-0000-000052140000}"/>
    <cellStyle name="Accent4 163" xfId="5203" xr:uid="{00000000-0005-0000-0000-000053140000}"/>
    <cellStyle name="Accent4 164" xfId="5204" xr:uid="{00000000-0005-0000-0000-000054140000}"/>
    <cellStyle name="Accent4 165" xfId="5205" xr:uid="{00000000-0005-0000-0000-000055140000}"/>
    <cellStyle name="Accent4 166" xfId="5206" xr:uid="{00000000-0005-0000-0000-000056140000}"/>
    <cellStyle name="Accent4 167" xfId="5207" xr:uid="{00000000-0005-0000-0000-000057140000}"/>
    <cellStyle name="Accent4 168" xfId="5208" xr:uid="{00000000-0005-0000-0000-000058140000}"/>
    <cellStyle name="Accent4 169" xfId="5209" xr:uid="{00000000-0005-0000-0000-000059140000}"/>
    <cellStyle name="Accent4 17" xfId="5210" xr:uid="{00000000-0005-0000-0000-00005A140000}"/>
    <cellStyle name="Accent4 17 2" xfId="5211" xr:uid="{00000000-0005-0000-0000-00005B140000}"/>
    <cellStyle name="Accent4 17 2 2" xfId="5212" xr:uid="{00000000-0005-0000-0000-00005C140000}"/>
    <cellStyle name="Accent4 17 3" xfId="5213" xr:uid="{00000000-0005-0000-0000-00005D140000}"/>
    <cellStyle name="Accent4 170" xfId="5214" xr:uid="{00000000-0005-0000-0000-00005E140000}"/>
    <cellStyle name="Accent4 171" xfId="5215" xr:uid="{00000000-0005-0000-0000-00005F140000}"/>
    <cellStyle name="Accent4 172" xfId="5216" xr:uid="{00000000-0005-0000-0000-000060140000}"/>
    <cellStyle name="Accent4 173" xfId="5217" xr:uid="{00000000-0005-0000-0000-000061140000}"/>
    <cellStyle name="Accent4 174" xfId="5218" xr:uid="{00000000-0005-0000-0000-000062140000}"/>
    <cellStyle name="Accent4 175" xfId="5219" xr:uid="{00000000-0005-0000-0000-000063140000}"/>
    <cellStyle name="Accent4 176" xfId="5220" xr:uid="{00000000-0005-0000-0000-000064140000}"/>
    <cellStyle name="Accent4 177" xfId="5221" xr:uid="{00000000-0005-0000-0000-000065140000}"/>
    <cellStyle name="Accent4 178" xfId="5222" xr:uid="{00000000-0005-0000-0000-000066140000}"/>
    <cellStyle name="Accent4 179" xfId="5223" xr:uid="{00000000-0005-0000-0000-000067140000}"/>
    <cellStyle name="Accent4 18" xfId="5224" xr:uid="{00000000-0005-0000-0000-000068140000}"/>
    <cellStyle name="Accent4 18 2" xfId="5225" xr:uid="{00000000-0005-0000-0000-000069140000}"/>
    <cellStyle name="Accent4 18 2 2" xfId="5226" xr:uid="{00000000-0005-0000-0000-00006A140000}"/>
    <cellStyle name="Accent4 18 3" xfId="5227" xr:uid="{00000000-0005-0000-0000-00006B140000}"/>
    <cellStyle name="Accent4 19" xfId="5228" xr:uid="{00000000-0005-0000-0000-00006C140000}"/>
    <cellStyle name="Accent4 19 2" xfId="5229" xr:uid="{00000000-0005-0000-0000-00006D140000}"/>
    <cellStyle name="Accent4 19 2 2" xfId="5230" xr:uid="{00000000-0005-0000-0000-00006E140000}"/>
    <cellStyle name="Accent4 19 3" xfId="5231" xr:uid="{00000000-0005-0000-0000-00006F140000}"/>
    <cellStyle name="Accent4 2" xfId="5232" xr:uid="{00000000-0005-0000-0000-000070140000}"/>
    <cellStyle name="Accent4 2 10" xfId="5233" xr:uid="{00000000-0005-0000-0000-000071140000}"/>
    <cellStyle name="Accent4 2 10 2" xfId="5234" xr:uid="{00000000-0005-0000-0000-000072140000}"/>
    <cellStyle name="Accent4 2 11" xfId="5235" xr:uid="{00000000-0005-0000-0000-000073140000}"/>
    <cellStyle name="Accent4 2 12" xfId="5236" xr:uid="{00000000-0005-0000-0000-000074140000}"/>
    <cellStyle name="Accent4 2 2" xfId="5237" xr:uid="{00000000-0005-0000-0000-000075140000}"/>
    <cellStyle name="Accent4 2 2 2" xfId="5238" xr:uid="{00000000-0005-0000-0000-000076140000}"/>
    <cellStyle name="Accent4 2 2 2 2" xfId="5239" xr:uid="{00000000-0005-0000-0000-000077140000}"/>
    <cellStyle name="Accent4 2 2 3" xfId="5240" xr:uid="{00000000-0005-0000-0000-000078140000}"/>
    <cellStyle name="Accent4 2 2 3 2" xfId="5241" xr:uid="{00000000-0005-0000-0000-000079140000}"/>
    <cellStyle name="Accent4 2 2 3 2 2" xfId="5242" xr:uid="{00000000-0005-0000-0000-00007A140000}"/>
    <cellStyle name="Accent4 2 2 3 3" xfId="5243" xr:uid="{00000000-0005-0000-0000-00007B140000}"/>
    <cellStyle name="Accent4 2 2 4" xfId="5244" xr:uid="{00000000-0005-0000-0000-00007C140000}"/>
    <cellStyle name="Accent4 2 3" xfId="5245" xr:uid="{00000000-0005-0000-0000-00007D140000}"/>
    <cellStyle name="Accent4 2 3 2" xfId="5246" xr:uid="{00000000-0005-0000-0000-00007E140000}"/>
    <cellStyle name="Accent4 2 3 2 2" xfId="5247" xr:uid="{00000000-0005-0000-0000-00007F140000}"/>
    <cellStyle name="Accent4 2 3 3" xfId="5248" xr:uid="{00000000-0005-0000-0000-000080140000}"/>
    <cellStyle name="Accent4 2 3 3 2" xfId="5249" xr:uid="{00000000-0005-0000-0000-000081140000}"/>
    <cellStyle name="Accent4 2 3 3 2 2" xfId="5250" xr:uid="{00000000-0005-0000-0000-000082140000}"/>
    <cellStyle name="Accent4 2 3 3 3" xfId="5251" xr:uid="{00000000-0005-0000-0000-000083140000}"/>
    <cellStyle name="Accent4 2 3 4" xfId="5252" xr:uid="{00000000-0005-0000-0000-000084140000}"/>
    <cellStyle name="Accent4 2 4" xfId="5253" xr:uid="{00000000-0005-0000-0000-000085140000}"/>
    <cellStyle name="Accent4 2 4 2" xfId="5254" xr:uid="{00000000-0005-0000-0000-000086140000}"/>
    <cellStyle name="Accent4 2 4 2 2" xfId="5255" xr:uid="{00000000-0005-0000-0000-000087140000}"/>
    <cellStyle name="Accent4 2 4 3" xfId="5256" xr:uid="{00000000-0005-0000-0000-000088140000}"/>
    <cellStyle name="Accent4 2 5" xfId="5257" xr:uid="{00000000-0005-0000-0000-000089140000}"/>
    <cellStyle name="Accent4 2 5 2" xfId="5258" xr:uid="{00000000-0005-0000-0000-00008A140000}"/>
    <cellStyle name="Accent4 2 5 2 2" xfId="5259" xr:uid="{00000000-0005-0000-0000-00008B140000}"/>
    <cellStyle name="Accent4 2 5 3" xfId="5260" xr:uid="{00000000-0005-0000-0000-00008C140000}"/>
    <cellStyle name="Accent4 2 5 3 2" xfId="5261" xr:uid="{00000000-0005-0000-0000-00008D140000}"/>
    <cellStyle name="Accent4 2 5 3 2 2" xfId="5262" xr:uid="{00000000-0005-0000-0000-00008E140000}"/>
    <cellStyle name="Accent4 2 5 3 3" xfId="5263" xr:uid="{00000000-0005-0000-0000-00008F140000}"/>
    <cellStyle name="Accent4 2 5 4" xfId="5264" xr:uid="{00000000-0005-0000-0000-000090140000}"/>
    <cellStyle name="Accent4 2 6" xfId="5265" xr:uid="{00000000-0005-0000-0000-000091140000}"/>
    <cellStyle name="Accent4 2 6 2" xfId="5266" xr:uid="{00000000-0005-0000-0000-000092140000}"/>
    <cellStyle name="Accent4 2 6 2 2" xfId="5267" xr:uid="{00000000-0005-0000-0000-000093140000}"/>
    <cellStyle name="Accent4 2 6 3" xfId="5268" xr:uid="{00000000-0005-0000-0000-000094140000}"/>
    <cellStyle name="Accent4 2 6 3 2" xfId="5269" xr:uid="{00000000-0005-0000-0000-000095140000}"/>
    <cellStyle name="Accent4 2 6 4" xfId="5270" xr:uid="{00000000-0005-0000-0000-000096140000}"/>
    <cellStyle name="Accent4 2 7" xfId="5271" xr:uid="{00000000-0005-0000-0000-000097140000}"/>
    <cellStyle name="Accent4 2 7 2" xfId="5272" xr:uid="{00000000-0005-0000-0000-000098140000}"/>
    <cellStyle name="Accent4 2 8" xfId="5273" xr:uid="{00000000-0005-0000-0000-000099140000}"/>
    <cellStyle name="Accent4 2 8 2" xfId="5274" xr:uid="{00000000-0005-0000-0000-00009A140000}"/>
    <cellStyle name="Accent4 2 8 2 2" xfId="5275" xr:uid="{00000000-0005-0000-0000-00009B140000}"/>
    <cellStyle name="Accent4 2 8 3" xfId="5276" xr:uid="{00000000-0005-0000-0000-00009C140000}"/>
    <cellStyle name="Accent4 2 9" xfId="5277" xr:uid="{00000000-0005-0000-0000-00009D140000}"/>
    <cellStyle name="Accent4 2 9 2" xfId="5278" xr:uid="{00000000-0005-0000-0000-00009E140000}"/>
    <cellStyle name="Accent4 2 9 2 2" xfId="5279" xr:uid="{00000000-0005-0000-0000-00009F140000}"/>
    <cellStyle name="Accent4 2 9 3" xfId="5280" xr:uid="{00000000-0005-0000-0000-0000A0140000}"/>
    <cellStyle name="Accent4 20" xfId="5281" xr:uid="{00000000-0005-0000-0000-0000A1140000}"/>
    <cellStyle name="Accent4 20 2" xfId="5282" xr:uid="{00000000-0005-0000-0000-0000A2140000}"/>
    <cellStyle name="Accent4 20 2 2" xfId="5283" xr:uid="{00000000-0005-0000-0000-0000A3140000}"/>
    <cellStyle name="Accent4 20 3" xfId="5284" xr:uid="{00000000-0005-0000-0000-0000A4140000}"/>
    <cellStyle name="Accent4 21" xfId="5285" xr:uid="{00000000-0005-0000-0000-0000A5140000}"/>
    <cellStyle name="Accent4 21 2" xfId="5286" xr:uid="{00000000-0005-0000-0000-0000A6140000}"/>
    <cellStyle name="Accent4 21 2 2" xfId="5287" xr:uid="{00000000-0005-0000-0000-0000A7140000}"/>
    <cellStyle name="Accent4 21 3" xfId="5288" xr:uid="{00000000-0005-0000-0000-0000A8140000}"/>
    <cellStyle name="Accent4 22" xfId="5289" xr:uid="{00000000-0005-0000-0000-0000A9140000}"/>
    <cellStyle name="Accent4 22 2" xfId="5290" xr:uid="{00000000-0005-0000-0000-0000AA140000}"/>
    <cellStyle name="Accent4 22 2 2" xfId="5291" xr:uid="{00000000-0005-0000-0000-0000AB140000}"/>
    <cellStyle name="Accent4 22 3" xfId="5292" xr:uid="{00000000-0005-0000-0000-0000AC140000}"/>
    <cellStyle name="Accent4 23" xfId="5293" xr:uid="{00000000-0005-0000-0000-0000AD140000}"/>
    <cellStyle name="Accent4 23 2" xfId="5294" xr:uid="{00000000-0005-0000-0000-0000AE140000}"/>
    <cellStyle name="Accent4 23 2 2" xfId="5295" xr:uid="{00000000-0005-0000-0000-0000AF140000}"/>
    <cellStyle name="Accent4 23 3" xfId="5296" xr:uid="{00000000-0005-0000-0000-0000B0140000}"/>
    <cellStyle name="Accent4 24" xfId="5297" xr:uid="{00000000-0005-0000-0000-0000B1140000}"/>
    <cellStyle name="Accent4 24 2" xfId="5298" xr:uid="{00000000-0005-0000-0000-0000B2140000}"/>
    <cellStyle name="Accent4 24 2 2" xfId="5299" xr:uid="{00000000-0005-0000-0000-0000B3140000}"/>
    <cellStyle name="Accent4 24 3" xfId="5300" xr:uid="{00000000-0005-0000-0000-0000B4140000}"/>
    <cellStyle name="Accent4 25" xfId="5301" xr:uid="{00000000-0005-0000-0000-0000B5140000}"/>
    <cellStyle name="Accent4 25 2" xfId="5302" xr:uid="{00000000-0005-0000-0000-0000B6140000}"/>
    <cellStyle name="Accent4 25 2 2" xfId="5303" xr:uid="{00000000-0005-0000-0000-0000B7140000}"/>
    <cellStyle name="Accent4 25 3" xfId="5304" xr:uid="{00000000-0005-0000-0000-0000B8140000}"/>
    <cellStyle name="Accent4 26" xfId="5305" xr:uid="{00000000-0005-0000-0000-0000B9140000}"/>
    <cellStyle name="Accent4 26 2" xfId="5306" xr:uid="{00000000-0005-0000-0000-0000BA140000}"/>
    <cellStyle name="Accent4 26 2 2" xfId="5307" xr:uid="{00000000-0005-0000-0000-0000BB140000}"/>
    <cellStyle name="Accent4 26 3" xfId="5308" xr:uid="{00000000-0005-0000-0000-0000BC140000}"/>
    <cellStyle name="Accent4 27" xfId="5309" xr:uid="{00000000-0005-0000-0000-0000BD140000}"/>
    <cellStyle name="Accent4 27 2" xfId="5310" xr:uid="{00000000-0005-0000-0000-0000BE140000}"/>
    <cellStyle name="Accent4 27 2 2" xfId="5311" xr:uid="{00000000-0005-0000-0000-0000BF140000}"/>
    <cellStyle name="Accent4 27 3" xfId="5312" xr:uid="{00000000-0005-0000-0000-0000C0140000}"/>
    <cellStyle name="Accent4 28" xfId="5313" xr:uid="{00000000-0005-0000-0000-0000C1140000}"/>
    <cellStyle name="Accent4 28 2" xfId="5314" xr:uid="{00000000-0005-0000-0000-0000C2140000}"/>
    <cellStyle name="Accent4 28 2 2" xfId="5315" xr:uid="{00000000-0005-0000-0000-0000C3140000}"/>
    <cellStyle name="Accent4 28 3" xfId="5316" xr:uid="{00000000-0005-0000-0000-0000C4140000}"/>
    <cellStyle name="Accent4 29" xfId="5317" xr:uid="{00000000-0005-0000-0000-0000C5140000}"/>
    <cellStyle name="Accent4 29 2" xfId="5318" xr:uid="{00000000-0005-0000-0000-0000C6140000}"/>
    <cellStyle name="Accent4 29 2 2" xfId="5319" xr:uid="{00000000-0005-0000-0000-0000C7140000}"/>
    <cellStyle name="Accent4 29 3" xfId="5320" xr:uid="{00000000-0005-0000-0000-0000C8140000}"/>
    <cellStyle name="Accent4 3" xfId="5321" xr:uid="{00000000-0005-0000-0000-0000C9140000}"/>
    <cellStyle name="Accent4 3 10" xfId="5322" xr:uid="{00000000-0005-0000-0000-0000CA140000}"/>
    <cellStyle name="Accent4 3 10 2" xfId="5323" xr:uid="{00000000-0005-0000-0000-0000CB140000}"/>
    <cellStyle name="Accent4 3 10 2 2" xfId="5324" xr:uid="{00000000-0005-0000-0000-0000CC140000}"/>
    <cellStyle name="Accent4 3 10 3" xfId="5325" xr:uid="{00000000-0005-0000-0000-0000CD140000}"/>
    <cellStyle name="Accent4 3 11" xfId="5326" xr:uid="{00000000-0005-0000-0000-0000CE140000}"/>
    <cellStyle name="Accent4 3 11 2" xfId="5327" xr:uid="{00000000-0005-0000-0000-0000CF140000}"/>
    <cellStyle name="Accent4 3 12" xfId="5328" xr:uid="{00000000-0005-0000-0000-0000D0140000}"/>
    <cellStyle name="Accent4 3 2" xfId="5329" xr:uid="{00000000-0005-0000-0000-0000D1140000}"/>
    <cellStyle name="Accent4 3 2 2" xfId="5330" xr:uid="{00000000-0005-0000-0000-0000D2140000}"/>
    <cellStyle name="Accent4 3 2 2 2" xfId="5331" xr:uid="{00000000-0005-0000-0000-0000D3140000}"/>
    <cellStyle name="Accent4 3 2 3" xfId="5332" xr:uid="{00000000-0005-0000-0000-0000D4140000}"/>
    <cellStyle name="Accent4 3 2 3 2" xfId="5333" xr:uid="{00000000-0005-0000-0000-0000D5140000}"/>
    <cellStyle name="Accent4 3 2 3 2 2" xfId="5334" xr:uid="{00000000-0005-0000-0000-0000D6140000}"/>
    <cellStyle name="Accent4 3 2 3 3" xfId="5335" xr:uid="{00000000-0005-0000-0000-0000D7140000}"/>
    <cellStyle name="Accent4 3 2 4" xfId="5336" xr:uid="{00000000-0005-0000-0000-0000D8140000}"/>
    <cellStyle name="Accent4 3 3" xfId="5337" xr:uid="{00000000-0005-0000-0000-0000D9140000}"/>
    <cellStyle name="Accent4 3 3 2" xfId="5338" xr:uid="{00000000-0005-0000-0000-0000DA140000}"/>
    <cellStyle name="Accent4 3 3 2 2" xfId="5339" xr:uid="{00000000-0005-0000-0000-0000DB140000}"/>
    <cellStyle name="Accent4 3 3 3" xfId="5340" xr:uid="{00000000-0005-0000-0000-0000DC140000}"/>
    <cellStyle name="Accent4 3 3 3 2" xfId="5341" xr:uid="{00000000-0005-0000-0000-0000DD140000}"/>
    <cellStyle name="Accent4 3 3 3 2 2" xfId="5342" xr:uid="{00000000-0005-0000-0000-0000DE140000}"/>
    <cellStyle name="Accent4 3 3 3 3" xfId="5343" xr:uid="{00000000-0005-0000-0000-0000DF140000}"/>
    <cellStyle name="Accent4 3 3 4" xfId="5344" xr:uid="{00000000-0005-0000-0000-0000E0140000}"/>
    <cellStyle name="Accent4 3 4" xfId="5345" xr:uid="{00000000-0005-0000-0000-0000E1140000}"/>
    <cellStyle name="Accent4 3 4 2" xfId="5346" xr:uid="{00000000-0005-0000-0000-0000E2140000}"/>
    <cellStyle name="Accent4 3 4 2 2" xfId="5347" xr:uid="{00000000-0005-0000-0000-0000E3140000}"/>
    <cellStyle name="Accent4 3 4 3" xfId="5348" xr:uid="{00000000-0005-0000-0000-0000E4140000}"/>
    <cellStyle name="Accent4 3 5" xfId="5349" xr:uid="{00000000-0005-0000-0000-0000E5140000}"/>
    <cellStyle name="Accent4 3 5 2" xfId="5350" xr:uid="{00000000-0005-0000-0000-0000E6140000}"/>
    <cellStyle name="Accent4 3 5 2 2" xfId="5351" xr:uid="{00000000-0005-0000-0000-0000E7140000}"/>
    <cellStyle name="Accent4 3 5 3" xfId="5352" xr:uid="{00000000-0005-0000-0000-0000E8140000}"/>
    <cellStyle name="Accent4 3 5 3 2" xfId="5353" xr:uid="{00000000-0005-0000-0000-0000E9140000}"/>
    <cellStyle name="Accent4 3 5 3 2 2" xfId="5354" xr:uid="{00000000-0005-0000-0000-0000EA140000}"/>
    <cellStyle name="Accent4 3 5 3 3" xfId="5355" xr:uid="{00000000-0005-0000-0000-0000EB140000}"/>
    <cellStyle name="Accent4 3 5 4" xfId="5356" xr:uid="{00000000-0005-0000-0000-0000EC140000}"/>
    <cellStyle name="Accent4 3 6" xfId="5357" xr:uid="{00000000-0005-0000-0000-0000ED140000}"/>
    <cellStyle name="Accent4 3 6 2" xfId="5358" xr:uid="{00000000-0005-0000-0000-0000EE140000}"/>
    <cellStyle name="Accent4 3 7" xfId="5359" xr:uid="{00000000-0005-0000-0000-0000EF140000}"/>
    <cellStyle name="Accent4 3 7 2" xfId="5360" xr:uid="{00000000-0005-0000-0000-0000F0140000}"/>
    <cellStyle name="Accent4 3 8" xfId="5361" xr:uid="{00000000-0005-0000-0000-0000F1140000}"/>
    <cellStyle name="Accent4 3 8 2" xfId="5362" xr:uid="{00000000-0005-0000-0000-0000F2140000}"/>
    <cellStyle name="Accent4 3 8 2 2" xfId="5363" xr:uid="{00000000-0005-0000-0000-0000F3140000}"/>
    <cellStyle name="Accent4 3 8 3" xfId="5364" xr:uid="{00000000-0005-0000-0000-0000F4140000}"/>
    <cellStyle name="Accent4 3 9" xfId="5365" xr:uid="{00000000-0005-0000-0000-0000F5140000}"/>
    <cellStyle name="Accent4 3 9 2" xfId="5366" xr:uid="{00000000-0005-0000-0000-0000F6140000}"/>
    <cellStyle name="Accent4 3 9 2 2" xfId="5367" xr:uid="{00000000-0005-0000-0000-0000F7140000}"/>
    <cellStyle name="Accent4 3 9 3" xfId="5368" xr:uid="{00000000-0005-0000-0000-0000F8140000}"/>
    <cellStyle name="Accent4 30" xfId="5369" xr:uid="{00000000-0005-0000-0000-0000F9140000}"/>
    <cellStyle name="Accent4 30 2" xfId="5370" xr:uid="{00000000-0005-0000-0000-0000FA140000}"/>
    <cellStyle name="Accent4 30 2 2" xfId="5371" xr:uid="{00000000-0005-0000-0000-0000FB140000}"/>
    <cellStyle name="Accent4 30 3" xfId="5372" xr:uid="{00000000-0005-0000-0000-0000FC140000}"/>
    <cellStyle name="Accent4 31" xfId="5373" xr:uid="{00000000-0005-0000-0000-0000FD140000}"/>
    <cellStyle name="Accent4 31 2" xfId="5374" xr:uid="{00000000-0005-0000-0000-0000FE140000}"/>
    <cellStyle name="Accent4 31 2 2" xfId="5375" xr:uid="{00000000-0005-0000-0000-0000FF140000}"/>
    <cellStyle name="Accent4 31 3" xfId="5376" xr:uid="{00000000-0005-0000-0000-000000150000}"/>
    <cellStyle name="Accent4 32" xfId="5377" xr:uid="{00000000-0005-0000-0000-000001150000}"/>
    <cellStyle name="Accent4 32 2" xfId="5378" xr:uid="{00000000-0005-0000-0000-000002150000}"/>
    <cellStyle name="Accent4 32 2 2" xfId="5379" xr:uid="{00000000-0005-0000-0000-000003150000}"/>
    <cellStyle name="Accent4 32 3" xfId="5380" xr:uid="{00000000-0005-0000-0000-000004150000}"/>
    <cellStyle name="Accent4 33" xfId="5381" xr:uid="{00000000-0005-0000-0000-000005150000}"/>
    <cellStyle name="Accent4 33 2" xfId="5382" xr:uid="{00000000-0005-0000-0000-000006150000}"/>
    <cellStyle name="Accent4 33 2 2" xfId="5383" xr:uid="{00000000-0005-0000-0000-000007150000}"/>
    <cellStyle name="Accent4 33 3" xfId="5384" xr:uid="{00000000-0005-0000-0000-000008150000}"/>
    <cellStyle name="Accent4 34" xfId="5385" xr:uid="{00000000-0005-0000-0000-000009150000}"/>
    <cellStyle name="Accent4 34 2" xfId="5386" xr:uid="{00000000-0005-0000-0000-00000A150000}"/>
    <cellStyle name="Accent4 34 2 2" xfId="5387" xr:uid="{00000000-0005-0000-0000-00000B150000}"/>
    <cellStyle name="Accent4 34 3" xfId="5388" xr:uid="{00000000-0005-0000-0000-00000C150000}"/>
    <cellStyle name="Accent4 35" xfId="5389" xr:uid="{00000000-0005-0000-0000-00000D150000}"/>
    <cellStyle name="Accent4 35 2" xfId="5390" xr:uid="{00000000-0005-0000-0000-00000E150000}"/>
    <cellStyle name="Accent4 35 2 2" xfId="5391" xr:uid="{00000000-0005-0000-0000-00000F150000}"/>
    <cellStyle name="Accent4 35 3" xfId="5392" xr:uid="{00000000-0005-0000-0000-000010150000}"/>
    <cellStyle name="Accent4 36" xfId="5393" xr:uid="{00000000-0005-0000-0000-000011150000}"/>
    <cellStyle name="Accent4 36 2" xfId="5394" xr:uid="{00000000-0005-0000-0000-000012150000}"/>
    <cellStyle name="Accent4 36 2 2" xfId="5395" xr:uid="{00000000-0005-0000-0000-000013150000}"/>
    <cellStyle name="Accent4 36 3" xfId="5396" xr:uid="{00000000-0005-0000-0000-000014150000}"/>
    <cellStyle name="Accent4 37" xfId="5397" xr:uid="{00000000-0005-0000-0000-000015150000}"/>
    <cellStyle name="Accent4 37 2" xfId="5398" xr:uid="{00000000-0005-0000-0000-000016150000}"/>
    <cellStyle name="Accent4 37 2 2" xfId="5399" xr:uid="{00000000-0005-0000-0000-000017150000}"/>
    <cellStyle name="Accent4 37 3" xfId="5400" xr:uid="{00000000-0005-0000-0000-000018150000}"/>
    <cellStyle name="Accent4 38" xfId="5401" xr:uid="{00000000-0005-0000-0000-000019150000}"/>
    <cellStyle name="Accent4 38 2" xfId="5402" xr:uid="{00000000-0005-0000-0000-00001A150000}"/>
    <cellStyle name="Accent4 38 2 2" xfId="5403" xr:uid="{00000000-0005-0000-0000-00001B150000}"/>
    <cellStyle name="Accent4 38 3" xfId="5404" xr:uid="{00000000-0005-0000-0000-00001C150000}"/>
    <cellStyle name="Accent4 39" xfId="5405" xr:uid="{00000000-0005-0000-0000-00001D150000}"/>
    <cellStyle name="Accent4 39 2" xfId="5406" xr:uid="{00000000-0005-0000-0000-00001E150000}"/>
    <cellStyle name="Accent4 39 2 2" xfId="5407" xr:uid="{00000000-0005-0000-0000-00001F150000}"/>
    <cellStyle name="Accent4 39 3" xfId="5408" xr:uid="{00000000-0005-0000-0000-000020150000}"/>
    <cellStyle name="Accent4 4" xfId="5409" xr:uid="{00000000-0005-0000-0000-000021150000}"/>
    <cellStyle name="Accent4 4 2" xfId="5410" xr:uid="{00000000-0005-0000-0000-000022150000}"/>
    <cellStyle name="Accent4 4 2 2" xfId="5411" xr:uid="{00000000-0005-0000-0000-000023150000}"/>
    <cellStyle name="Accent4 4 2 2 2" xfId="5412" xr:uid="{00000000-0005-0000-0000-000024150000}"/>
    <cellStyle name="Accent4 4 2 3" xfId="5413" xr:uid="{00000000-0005-0000-0000-000025150000}"/>
    <cellStyle name="Accent4 4 2 3 2" xfId="5414" xr:uid="{00000000-0005-0000-0000-000026150000}"/>
    <cellStyle name="Accent4 4 2 3 2 2" xfId="5415" xr:uid="{00000000-0005-0000-0000-000027150000}"/>
    <cellStyle name="Accent4 4 2 3 3" xfId="5416" xr:uid="{00000000-0005-0000-0000-000028150000}"/>
    <cellStyle name="Accent4 4 2 4" xfId="5417" xr:uid="{00000000-0005-0000-0000-000029150000}"/>
    <cellStyle name="Accent4 4 3" xfId="5418" xr:uid="{00000000-0005-0000-0000-00002A150000}"/>
    <cellStyle name="Accent4 4 3 2" xfId="5419" xr:uid="{00000000-0005-0000-0000-00002B150000}"/>
    <cellStyle name="Accent4 4 3 2 2" xfId="5420" xr:uid="{00000000-0005-0000-0000-00002C150000}"/>
    <cellStyle name="Accent4 4 3 3" xfId="5421" xr:uid="{00000000-0005-0000-0000-00002D150000}"/>
    <cellStyle name="Accent4 4 3 3 2" xfId="5422" xr:uid="{00000000-0005-0000-0000-00002E150000}"/>
    <cellStyle name="Accent4 4 3 3 2 2" xfId="5423" xr:uid="{00000000-0005-0000-0000-00002F150000}"/>
    <cellStyle name="Accent4 4 3 3 3" xfId="5424" xr:uid="{00000000-0005-0000-0000-000030150000}"/>
    <cellStyle name="Accent4 4 3 4" xfId="5425" xr:uid="{00000000-0005-0000-0000-000031150000}"/>
    <cellStyle name="Accent4 4 4" xfId="5426" xr:uid="{00000000-0005-0000-0000-000032150000}"/>
    <cellStyle name="Accent4 4 4 2" xfId="5427" xr:uid="{00000000-0005-0000-0000-000033150000}"/>
    <cellStyle name="Accent4 4 4 2 2" xfId="5428" xr:uid="{00000000-0005-0000-0000-000034150000}"/>
    <cellStyle name="Accent4 4 4 3" xfId="5429" xr:uid="{00000000-0005-0000-0000-000035150000}"/>
    <cellStyle name="Accent4 4 5" xfId="5430" xr:uid="{00000000-0005-0000-0000-000036150000}"/>
    <cellStyle name="Accent4 4 5 2" xfId="5431" xr:uid="{00000000-0005-0000-0000-000037150000}"/>
    <cellStyle name="Accent4 4 6" xfId="5432" xr:uid="{00000000-0005-0000-0000-000038150000}"/>
    <cellStyle name="Accent4 4 6 2" xfId="5433" xr:uid="{00000000-0005-0000-0000-000039150000}"/>
    <cellStyle name="Accent4 4 6 2 2" xfId="5434" xr:uid="{00000000-0005-0000-0000-00003A150000}"/>
    <cellStyle name="Accent4 4 6 3" xfId="5435" xr:uid="{00000000-0005-0000-0000-00003B150000}"/>
    <cellStyle name="Accent4 4 7" xfId="5436" xr:uid="{00000000-0005-0000-0000-00003C150000}"/>
    <cellStyle name="Accent4 4 7 2" xfId="5437" xr:uid="{00000000-0005-0000-0000-00003D150000}"/>
    <cellStyle name="Accent4 4 7 2 2" xfId="5438" xr:uid="{00000000-0005-0000-0000-00003E150000}"/>
    <cellStyle name="Accent4 4 7 3" xfId="5439" xr:uid="{00000000-0005-0000-0000-00003F150000}"/>
    <cellStyle name="Accent4 4 8" xfId="5440" xr:uid="{00000000-0005-0000-0000-000040150000}"/>
    <cellStyle name="Accent4 40" xfId="5441" xr:uid="{00000000-0005-0000-0000-000041150000}"/>
    <cellStyle name="Accent4 40 2" xfId="5442" xr:uid="{00000000-0005-0000-0000-000042150000}"/>
    <cellStyle name="Accent4 40 2 2" xfId="5443" xr:uid="{00000000-0005-0000-0000-000043150000}"/>
    <cellStyle name="Accent4 40 3" xfId="5444" xr:uid="{00000000-0005-0000-0000-000044150000}"/>
    <cellStyle name="Accent4 41" xfId="5445" xr:uid="{00000000-0005-0000-0000-000045150000}"/>
    <cellStyle name="Accent4 41 2" xfId="5446" xr:uid="{00000000-0005-0000-0000-000046150000}"/>
    <cellStyle name="Accent4 41 2 2" xfId="5447" xr:uid="{00000000-0005-0000-0000-000047150000}"/>
    <cellStyle name="Accent4 41 3" xfId="5448" xr:uid="{00000000-0005-0000-0000-000048150000}"/>
    <cellStyle name="Accent4 42" xfId="5449" xr:uid="{00000000-0005-0000-0000-000049150000}"/>
    <cellStyle name="Accent4 42 2" xfId="5450" xr:uid="{00000000-0005-0000-0000-00004A150000}"/>
    <cellStyle name="Accent4 42 2 2" xfId="5451" xr:uid="{00000000-0005-0000-0000-00004B150000}"/>
    <cellStyle name="Accent4 42 3" xfId="5452" xr:uid="{00000000-0005-0000-0000-00004C150000}"/>
    <cellStyle name="Accent4 43" xfId="5453" xr:uid="{00000000-0005-0000-0000-00004D150000}"/>
    <cellStyle name="Accent4 43 2" xfId="5454" xr:uid="{00000000-0005-0000-0000-00004E150000}"/>
    <cellStyle name="Accent4 43 2 2" xfId="5455" xr:uid="{00000000-0005-0000-0000-00004F150000}"/>
    <cellStyle name="Accent4 43 3" xfId="5456" xr:uid="{00000000-0005-0000-0000-000050150000}"/>
    <cellStyle name="Accent4 44" xfId="5457" xr:uid="{00000000-0005-0000-0000-000051150000}"/>
    <cellStyle name="Accent4 44 2" xfId="5458" xr:uid="{00000000-0005-0000-0000-000052150000}"/>
    <cellStyle name="Accent4 44 2 2" xfId="5459" xr:uid="{00000000-0005-0000-0000-000053150000}"/>
    <cellStyle name="Accent4 44 3" xfId="5460" xr:uid="{00000000-0005-0000-0000-000054150000}"/>
    <cellStyle name="Accent4 45" xfId="5461" xr:uid="{00000000-0005-0000-0000-000055150000}"/>
    <cellStyle name="Accent4 45 2" xfId="5462" xr:uid="{00000000-0005-0000-0000-000056150000}"/>
    <cellStyle name="Accent4 45 2 2" xfId="5463" xr:uid="{00000000-0005-0000-0000-000057150000}"/>
    <cellStyle name="Accent4 45 3" xfId="5464" xr:uid="{00000000-0005-0000-0000-000058150000}"/>
    <cellStyle name="Accent4 46" xfId="5465" xr:uid="{00000000-0005-0000-0000-000059150000}"/>
    <cellStyle name="Accent4 46 2" xfId="5466" xr:uid="{00000000-0005-0000-0000-00005A150000}"/>
    <cellStyle name="Accent4 46 2 2" xfId="5467" xr:uid="{00000000-0005-0000-0000-00005B150000}"/>
    <cellStyle name="Accent4 46 3" xfId="5468" xr:uid="{00000000-0005-0000-0000-00005C150000}"/>
    <cellStyle name="Accent4 47" xfId="5469" xr:uid="{00000000-0005-0000-0000-00005D150000}"/>
    <cellStyle name="Accent4 47 2" xfId="5470" xr:uid="{00000000-0005-0000-0000-00005E150000}"/>
    <cellStyle name="Accent4 47 2 2" xfId="5471" xr:uid="{00000000-0005-0000-0000-00005F150000}"/>
    <cellStyle name="Accent4 47 3" xfId="5472" xr:uid="{00000000-0005-0000-0000-000060150000}"/>
    <cellStyle name="Accent4 48" xfId="5473" xr:uid="{00000000-0005-0000-0000-000061150000}"/>
    <cellStyle name="Accent4 48 2" xfId="5474" xr:uid="{00000000-0005-0000-0000-000062150000}"/>
    <cellStyle name="Accent4 48 2 2" xfId="5475" xr:uid="{00000000-0005-0000-0000-000063150000}"/>
    <cellStyle name="Accent4 48 3" xfId="5476" xr:uid="{00000000-0005-0000-0000-000064150000}"/>
    <cellStyle name="Accent4 48 3 2" xfId="5477" xr:uid="{00000000-0005-0000-0000-000065150000}"/>
    <cellStyle name="Accent4 48 3 2 2" xfId="5478" xr:uid="{00000000-0005-0000-0000-000066150000}"/>
    <cellStyle name="Accent4 48 3 3" xfId="5479" xr:uid="{00000000-0005-0000-0000-000067150000}"/>
    <cellStyle name="Accent4 48 4" xfId="5480" xr:uid="{00000000-0005-0000-0000-000068150000}"/>
    <cellStyle name="Accent4 49" xfId="5481" xr:uid="{00000000-0005-0000-0000-000069150000}"/>
    <cellStyle name="Accent4 49 2" xfId="5482" xr:uid="{00000000-0005-0000-0000-00006A150000}"/>
    <cellStyle name="Accent4 49 2 2" xfId="5483" xr:uid="{00000000-0005-0000-0000-00006B150000}"/>
    <cellStyle name="Accent4 49 3" xfId="5484" xr:uid="{00000000-0005-0000-0000-00006C150000}"/>
    <cellStyle name="Accent4 49 3 2" xfId="5485" xr:uid="{00000000-0005-0000-0000-00006D150000}"/>
    <cellStyle name="Accent4 49 3 2 2" xfId="5486" xr:uid="{00000000-0005-0000-0000-00006E150000}"/>
    <cellStyle name="Accent4 49 3 3" xfId="5487" xr:uid="{00000000-0005-0000-0000-00006F150000}"/>
    <cellStyle name="Accent4 49 4" xfId="5488" xr:uid="{00000000-0005-0000-0000-000070150000}"/>
    <cellStyle name="Accent4 5" xfId="5489" xr:uid="{00000000-0005-0000-0000-000071150000}"/>
    <cellStyle name="Accent4 5 2" xfId="5490" xr:uid="{00000000-0005-0000-0000-000072150000}"/>
    <cellStyle name="Accent4 5 2 2" xfId="5491" xr:uid="{00000000-0005-0000-0000-000073150000}"/>
    <cellStyle name="Accent4 5 2 2 2" xfId="5492" xr:uid="{00000000-0005-0000-0000-000074150000}"/>
    <cellStyle name="Accent4 5 2 3" xfId="5493" xr:uid="{00000000-0005-0000-0000-000075150000}"/>
    <cellStyle name="Accent4 5 2 3 2" xfId="5494" xr:uid="{00000000-0005-0000-0000-000076150000}"/>
    <cellStyle name="Accent4 5 2 3 2 2" xfId="5495" xr:uid="{00000000-0005-0000-0000-000077150000}"/>
    <cellStyle name="Accent4 5 2 3 3" xfId="5496" xr:uid="{00000000-0005-0000-0000-000078150000}"/>
    <cellStyle name="Accent4 5 2 4" xfId="5497" xr:uid="{00000000-0005-0000-0000-000079150000}"/>
    <cellStyle name="Accent4 5 3" xfId="5498" xr:uid="{00000000-0005-0000-0000-00007A150000}"/>
    <cellStyle name="Accent4 5 3 2" xfId="5499" xr:uid="{00000000-0005-0000-0000-00007B150000}"/>
    <cellStyle name="Accent4 5 3 2 2" xfId="5500" xr:uid="{00000000-0005-0000-0000-00007C150000}"/>
    <cellStyle name="Accent4 5 3 3" xfId="5501" xr:uid="{00000000-0005-0000-0000-00007D150000}"/>
    <cellStyle name="Accent4 5 3 3 2" xfId="5502" xr:uid="{00000000-0005-0000-0000-00007E150000}"/>
    <cellStyle name="Accent4 5 3 3 2 2" xfId="5503" xr:uid="{00000000-0005-0000-0000-00007F150000}"/>
    <cellStyle name="Accent4 5 3 3 3" xfId="5504" xr:uid="{00000000-0005-0000-0000-000080150000}"/>
    <cellStyle name="Accent4 5 3 4" xfId="5505" xr:uid="{00000000-0005-0000-0000-000081150000}"/>
    <cellStyle name="Accent4 5 4" xfId="5506" xr:uid="{00000000-0005-0000-0000-000082150000}"/>
    <cellStyle name="Accent4 5 4 2" xfId="5507" xr:uid="{00000000-0005-0000-0000-000083150000}"/>
    <cellStyle name="Accent4 5 5" xfId="5508" xr:uid="{00000000-0005-0000-0000-000084150000}"/>
    <cellStyle name="Accent4 5 5 2" xfId="5509" xr:uid="{00000000-0005-0000-0000-000085150000}"/>
    <cellStyle name="Accent4 5 5 2 2" xfId="5510" xr:uid="{00000000-0005-0000-0000-000086150000}"/>
    <cellStyle name="Accent4 5 5 3" xfId="5511" xr:uid="{00000000-0005-0000-0000-000087150000}"/>
    <cellStyle name="Accent4 5 6" xfId="5512" xr:uid="{00000000-0005-0000-0000-000088150000}"/>
    <cellStyle name="Accent4 5 6 2" xfId="5513" xr:uid="{00000000-0005-0000-0000-000089150000}"/>
    <cellStyle name="Accent4 5 7" xfId="5514" xr:uid="{00000000-0005-0000-0000-00008A150000}"/>
    <cellStyle name="Accent4 50" xfId="5515" xr:uid="{00000000-0005-0000-0000-00008B150000}"/>
    <cellStyle name="Accent4 50 2" xfId="5516" xr:uid="{00000000-0005-0000-0000-00008C150000}"/>
    <cellStyle name="Accent4 50 2 2" xfId="5517" xr:uid="{00000000-0005-0000-0000-00008D150000}"/>
    <cellStyle name="Accent4 50 3" xfId="5518" xr:uid="{00000000-0005-0000-0000-00008E150000}"/>
    <cellStyle name="Accent4 50 3 2" xfId="5519" xr:uid="{00000000-0005-0000-0000-00008F150000}"/>
    <cellStyle name="Accent4 50 3 2 2" xfId="5520" xr:uid="{00000000-0005-0000-0000-000090150000}"/>
    <cellStyle name="Accent4 50 3 3" xfId="5521" xr:uid="{00000000-0005-0000-0000-000091150000}"/>
    <cellStyle name="Accent4 50 4" xfId="5522" xr:uid="{00000000-0005-0000-0000-000092150000}"/>
    <cellStyle name="Accent4 51" xfId="5523" xr:uid="{00000000-0005-0000-0000-000093150000}"/>
    <cellStyle name="Accent4 51 2" xfId="5524" xr:uid="{00000000-0005-0000-0000-000094150000}"/>
    <cellStyle name="Accent4 51 2 2" xfId="5525" xr:uid="{00000000-0005-0000-0000-000095150000}"/>
    <cellStyle name="Accent4 51 3" xfId="5526" xr:uid="{00000000-0005-0000-0000-000096150000}"/>
    <cellStyle name="Accent4 51 3 2" xfId="5527" xr:uid="{00000000-0005-0000-0000-000097150000}"/>
    <cellStyle name="Accent4 51 3 2 2" xfId="5528" xr:uid="{00000000-0005-0000-0000-000098150000}"/>
    <cellStyle name="Accent4 51 3 3" xfId="5529" xr:uid="{00000000-0005-0000-0000-000099150000}"/>
    <cellStyle name="Accent4 51 4" xfId="5530" xr:uid="{00000000-0005-0000-0000-00009A150000}"/>
    <cellStyle name="Accent4 52" xfId="5531" xr:uid="{00000000-0005-0000-0000-00009B150000}"/>
    <cellStyle name="Accent4 52 2" xfId="5532" xr:uid="{00000000-0005-0000-0000-00009C150000}"/>
    <cellStyle name="Accent4 52 2 2" xfId="5533" xr:uid="{00000000-0005-0000-0000-00009D150000}"/>
    <cellStyle name="Accent4 52 3" xfId="5534" xr:uid="{00000000-0005-0000-0000-00009E150000}"/>
    <cellStyle name="Accent4 53" xfId="5535" xr:uid="{00000000-0005-0000-0000-00009F150000}"/>
    <cellStyle name="Accent4 53 2" xfId="5536" xr:uid="{00000000-0005-0000-0000-0000A0150000}"/>
    <cellStyle name="Accent4 53 2 2" xfId="5537" xr:uid="{00000000-0005-0000-0000-0000A1150000}"/>
    <cellStyle name="Accent4 53 3" xfId="5538" xr:uid="{00000000-0005-0000-0000-0000A2150000}"/>
    <cellStyle name="Accent4 54" xfId="5539" xr:uid="{00000000-0005-0000-0000-0000A3150000}"/>
    <cellStyle name="Accent4 54 2" xfId="5540" xr:uid="{00000000-0005-0000-0000-0000A4150000}"/>
    <cellStyle name="Accent4 54 2 2" xfId="5541" xr:uid="{00000000-0005-0000-0000-0000A5150000}"/>
    <cellStyle name="Accent4 54 3" xfId="5542" xr:uid="{00000000-0005-0000-0000-0000A6150000}"/>
    <cellStyle name="Accent4 55" xfId="5543" xr:uid="{00000000-0005-0000-0000-0000A7150000}"/>
    <cellStyle name="Accent4 55 2" xfId="5544" xr:uid="{00000000-0005-0000-0000-0000A8150000}"/>
    <cellStyle name="Accent4 55 2 2" xfId="5545" xr:uid="{00000000-0005-0000-0000-0000A9150000}"/>
    <cellStyle name="Accent4 55 3" xfId="5546" xr:uid="{00000000-0005-0000-0000-0000AA150000}"/>
    <cellStyle name="Accent4 56" xfId="5547" xr:uid="{00000000-0005-0000-0000-0000AB150000}"/>
    <cellStyle name="Accent4 56 2" xfId="5548" xr:uid="{00000000-0005-0000-0000-0000AC150000}"/>
    <cellStyle name="Accent4 56 2 2" xfId="5549" xr:uid="{00000000-0005-0000-0000-0000AD150000}"/>
    <cellStyle name="Accent4 56 3" xfId="5550" xr:uid="{00000000-0005-0000-0000-0000AE150000}"/>
    <cellStyle name="Accent4 57" xfId="5551" xr:uid="{00000000-0005-0000-0000-0000AF150000}"/>
    <cellStyle name="Accent4 57 2" xfId="5552" xr:uid="{00000000-0005-0000-0000-0000B0150000}"/>
    <cellStyle name="Accent4 57 2 2" xfId="5553" xr:uid="{00000000-0005-0000-0000-0000B1150000}"/>
    <cellStyle name="Accent4 57 3" xfId="5554" xr:uid="{00000000-0005-0000-0000-0000B2150000}"/>
    <cellStyle name="Accent4 58" xfId="5555" xr:uid="{00000000-0005-0000-0000-0000B3150000}"/>
    <cellStyle name="Accent4 58 2" xfId="5556" xr:uid="{00000000-0005-0000-0000-0000B4150000}"/>
    <cellStyle name="Accent4 58 2 2" xfId="5557" xr:uid="{00000000-0005-0000-0000-0000B5150000}"/>
    <cellStyle name="Accent4 58 3" xfId="5558" xr:uid="{00000000-0005-0000-0000-0000B6150000}"/>
    <cellStyle name="Accent4 58 3 2" xfId="5559" xr:uid="{00000000-0005-0000-0000-0000B7150000}"/>
    <cellStyle name="Accent4 58 3 2 2" xfId="5560" xr:uid="{00000000-0005-0000-0000-0000B8150000}"/>
    <cellStyle name="Accent4 58 3 3" xfId="5561" xr:uid="{00000000-0005-0000-0000-0000B9150000}"/>
    <cellStyle name="Accent4 58 4" xfId="5562" xr:uid="{00000000-0005-0000-0000-0000BA150000}"/>
    <cellStyle name="Accent4 59" xfId="5563" xr:uid="{00000000-0005-0000-0000-0000BB150000}"/>
    <cellStyle name="Accent4 59 2" xfId="5564" xr:uid="{00000000-0005-0000-0000-0000BC150000}"/>
    <cellStyle name="Accent4 59 2 2" xfId="5565" xr:uid="{00000000-0005-0000-0000-0000BD150000}"/>
    <cellStyle name="Accent4 59 3" xfId="5566" xr:uid="{00000000-0005-0000-0000-0000BE150000}"/>
    <cellStyle name="Accent4 59 3 2" xfId="5567" xr:uid="{00000000-0005-0000-0000-0000BF150000}"/>
    <cellStyle name="Accent4 59 3 2 2" xfId="5568" xr:uid="{00000000-0005-0000-0000-0000C0150000}"/>
    <cellStyle name="Accent4 59 3 3" xfId="5569" xr:uid="{00000000-0005-0000-0000-0000C1150000}"/>
    <cellStyle name="Accent4 59 4" xfId="5570" xr:uid="{00000000-0005-0000-0000-0000C2150000}"/>
    <cellStyle name="Accent4 6" xfId="5571" xr:uid="{00000000-0005-0000-0000-0000C3150000}"/>
    <cellStyle name="Accent4 6 2" xfId="5572" xr:uid="{00000000-0005-0000-0000-0000C4150000}"/>
    <cellStyle name="Accent4 6 2 2" xfId="5573" xr:uid="{00000000-0005-0000-0000-0000C5150000}"/>
    <cellStyle name="Accent4 6 2 2 2" xfId="5574" xr:uid="{00000000-0005-0000-0000-0000C6150000}"/>
    <cellStyle name="Accent4 6 2 3" xfId="5575" xr:uid="{00000000-0005-0000-0000-0000C7150000}"/>
    <cellStyle name="Accent4 6 2 3 2" xfId="5576" xr:uid="{00000000-0005-0000-0000-0000C8150000}"/>
    <cellStyle name="Accent4 6 2 3 2 2" xfId="5577" xr:uid="{00000000-0005-0000-0000-0000C9150000}"/>
    <cellStyle name="Accent4 6 2 3 3" xfId="5578" xr:uid="{00000000-0005-0000-0000-0000CA150000}"/>
    <cellStyle name="Accent4 6 2 4" xfId="5579" xr:uid="{00000000-0005-0000-0000-0000CB150000}"/>
    <cellStyle name="Accent4 6 3" xfId="5580" xr:uid="{00000000-0005-0000-0000-0000CC150000}"/>
    <cellStyle name="Accent4 6 3 2" xfId="5581" xr:uid="{00000000-0005-0000-0000-0000CD150000}"/>
    <cellStyle name="Accent4 6 4" xfId="5582" xr:uid="{00000000-0005-0000-0000-0000CE150000}"/>
    <cellStyle name="Accent4 6 4 2" xfId="5583" xr:uid="{00000000-0005-0000-0000-0000CF150000}"/>
    <cellStyle name="Accent4 6 4 2 2" xfId="5584" xr:uid="{00000000-0005-0000-0000-0000D0150000}"/>
    <cellStyle name="Accent4 6 4 3" xfId="5585" xr:uid="{00000000-0005-0000-0000-0000D1150000}"/>
    <cellStyle name="Accent4 6 5" xfId="5586" xr:uid="{00000000-0005-0000-0000-0000D2150000}"/>
    <cellStyle name="Accent4 60" xfId="5587" xr:uid="{00000000-0005-0000-0000-0000D3150000}"/>
    <cellStyle name="Accent4 60 2" xfId="5588" xr:uid="{00000000-0005-0000-0000-0000D4150000}"/>
    <cellStyle name="Accent4 60 2 2" xfId="5589" xr:uid="{00000000-0005-0000-0000-0000D5150000}"/>
    <cellStyle name="Accent4 60 3" xfId="5590" xr:uid="{00000000-0005-0000-0000-0000D6150000}"/>
    <cellStyle name="Accent4 60 3 2" xfId="5591" xr:uid="{00000000-0005-0000-0000-0000D7150000}"/>
    <cellStyle name="Accent4 60 3 2 2" xfId="5592" xr:uid="{00000000-0005-0000-0000-0000D8150000}"/>
    <cellStyle name="Accent4 60 3 3" xfId="5593" xr:uid="{00000000-0005-0000-0000-0000D9150000}"/>
    <cellStyle name="Accent4 60 4" xfId="5594" xr:uid="{00000000-0005-0000-0000-0000DA150000}"/>
    <cellStyle name="Accent4 61" xfId="5595" xr:uid="{00000000-0005-0000-0000-0000DB150000}"/>
    <cellStyle name="Accent4 61 2" xfId="5596" xr:uid="{00000000-0005-0000-0000-0000DC150000}"/>
    <cellStyle name="Accent4 61 2 2" xfId="5597" xr:uid="{00000000-0005-0000-0000-0000DD150000}"/>
    <cellStyle name="Accent4 61 3" xfId="5598" xr:uid="{00000000-0005-0000-0000-0000DE150000}"/>
    <cellStyle name="Accent4 61 3 2" xfId="5599" xr:uid="{00000000-0005-0000-0000-0000DF150000}"/>
    <cellStyle name="Accent4 61 3 2 2" xfId="5600" xr:uid="{00000000-0005-0000-0000-0000E0150000}"/>
    <cellStyle name="Accent4 61 3 3" xfId="5601" xr:uid="{00000000-0005-0000-0000-0000E1150000}"/>
    <cellStyle name="Accent4 61 4" xfId="5602" xr:uid="{00000000-0005-0000-0000-0000E2150000}"/>
    <cellStyle name="Accent4 62" xfId="5603" xr:uid="{00000000-0005-0000-0000-0000E3150000}"/>
    <cellStyle name="Accent4 62 2" xfId="5604" xr:uid="{00000000-0005-0000-0000-0000E4150000}"/>
    <cellStyle name="Accent4 62 2 2" xfId="5605" xr:uid="{00000000-0005-0000-0000-0000E5150000}"/>
    <cellStyle name="Accent4 62 3" xfId="5606" xr:uid="{00000000-0005-0000-0000-0000E6150000}"/>
    <cellStyle name="Accent4 62 3 2" xfId="5607" xr:uid="{00000000-0005-0000-0000-0000E7150000}"/>
    <cellStyle name="Accent4 62 3 2 2" xfId="5608" xr:uid="{00000000-0005-0000-0000-0000E8150000}"/>
    <cellStyle name="Accent4 62 3 3" xfId="5609" xr:uid="{00000000-0005-0000-0000-0000E9150000}"/>
    <cellStyle name="Accent4 62 4" xfId="5610" xr:uid="{00000000-0005-0000-0000-0000EA150000}"/>
    <cellStyle name="Accent4 63" xfId="5611" xr:uid="{00000000-0005-0000-0000-0000EB150000}"/>
    <cellStyle name="Accent4 63 2" xfId="5612" xr:uid="{00000000-0005-0000-0000-0000EC150000}"/>
    <cellStyle name="Accent4 63 2 2" xfId="5613" xr:uid="{00000000-0005-0000-0000-0000ED150000}"/>
    <cellStyle name="Accent4 63 3" xfId="5614" xr:uid="{00000000-0005-0000-0000-0000EE150000}"/>
    <cellStyle name="Accent4 63 3 2" xfId="5615" xr:uid="{00000000-0005-0000-0000-0000EF150000}"/>
    <cellStyle name="Accent4 63 3 2 2" xfId="5616" xr:uid="{00000000-0005-0000-0000-0000F0150000}"/>
    <cellStyle name="Accent4 63 3 3" xfId="5617" xr:uid="{00000000-0005-0000-0000-0000F1150000}"/>
    <cellStyle name="Accent4 63 4" xfId="5618" xr:uid="{00000000-0005-0000-0000-0000F2150000}"/>
    <cellStyle name="Accent4 64" xfId="5619" xr:uid="{00000000-0005-0000-0000-0000F3150000}"/>
    <cellStyle name="Accent4 64 2" xfId="5620" xr:uid="{00000000-0005-0000-0000-0000F4150000}"/>
    <cellStyle name="Accent4 64 2 2" xfId="5621" xr:uid="{00000000-0005-0000-0000-0000F5150000}"/>
    <cellStyle name="Accent4 64 3" xfId="5622" xr:uid="{00000000-0005-0000-0000-0000F6150000}"/>
    <cellStyle name="Accent4 64 3 2" xfId="5623" xr:uid="{00000000-0005-0000-0000-0000F7150000}"/>
    <cellStyle name="Accent4 64 3 2 2" xfId="5624" xr:uid="{00000000-0005-0000-0000-0000F8150000}"/>
    <cellStyle name="Accent4 64 3 3" xfId="5625" xr:uid="{00000000-0005-0000-0000-0000F9150000}"/>
    <cellStyle name="Accent4 64 4" xfId="5626" xr:uid="{00000000-0005-0000-0000-0000FA150000}"/>
    <cellStyle name="Accent4 65" xfId="5627" xr:uid="{00000000-0005-0000-0000-0000FB150000}"/>
    <cellStyle name="Accent4 65 2" xfId="5628" xr:uid="{00000000-0005-0000-0000-0000FC150000}"/>
    <cellStyle name="Accent4 65 2 2" xfId="5629" xr:uid="{00000000-0005-0000-0000-0000FD150000}"/>
    <cellStyle name="Accent4 65 3" xfId="5630" xr:uid="{00000000-0005-0000-0000-0000FE150000}"/>
    <cellStyle name="Accent4 65 3 2" xfId="5631" xr:uid="{00000000-0005-0000-0000-0000FF150000}"/>
    <cellStyle name="Accent4 65 3 2 2" xfId="5632" xr:uid="{00000000-0005-0000-0000-000000160000}"/>
    <cellStyle name="Accent4 65 3 3" xfId="5633" xr:uid="{00000000-0005-0000-0000-000001160000}"/>
    <cellStyle name="Accent4 65 4" xfId="5634" xr:uid="{00000000-0005-0000-0000-000002160000}"/>
    <cellStyle name="Accent4 66" xfId="5635" xr:uid="{00000000-0005-0000-0000-000003160000}"/>
    <cellStyle name="Accent4 66 2" xfId="5636" xr:uid="{00000000-0005-0000-0000-000004160000}"/>
    <cellStyle name="Accent4 66 2 2" xfId="5637" xr:uid="{00000000-0005-0000-0000-000005160000}"/>
    <cellStyle name="Accent4 66 3" xfId="5638" xr:uid="{00000000-0005-0000-0000-000006160000}"/>
    <cellStyle name="Accent4 66 3 2" xfId="5639" xr:uid="{00000000-0005-0000-0000-000007160000}"/>
    <cellStyle name="Accent4 66 3 2 2" xfId="5640" xr:uid="{00000000-0005-0000-0000-000008160000}"/>
    <cellStyle name="Accent4 66 3 3" xfId="5641" xr:uid="{00000000-0005-0000-0000-000009160000}"/>
    <cellStyle name="Accent4 66 4" xfId="5642" xr:uid="{00000000-0005-0000-0000-00000A160000}"/>
    <cellStyle name="Accent4 67" xfId="5643" xr:uid="{00000000-0005-0000-0000-00000B160000}"/>
    <cellStyle name="Accent4 67 2" xfId="5644" xr:uid="{00000000-0005-0000-0000-00000C160000}"/>
    <cellStyle name="Accent4 67 2 2" xfId="5645" xr:uid="{00000000-0005-0000-0000-00000D160000}"/>
    <cellStyle name="Accent4 67 3" xfId="5646" xr:uid="{00000000-0005-0000-0000-00000E160000}"/>
    <cellStyle name="Accent4 67 3 2" xfId="5647" xr:uid="{00000000-0005-0000-0000-00000F160000}"/>
    <cellStyle name="Accent4 67 3 2 2" xfId="5648" xr:uid="{00000000-0005-0000-0000-000010160000}"/>
    <cellStyle name="Accent4 67 3 3" xfId="5649" xr:uid="{00000000-0005-0000-0000-000011160000}"/>
    <cellStyle name="Accent4 67 4" xfId="5650" xr:uid="{00000000-0005-0000-0000-000012160000}"/>
    <cellStyle name="Accent4 68" xfId="5651" xr:uid="{00000000-0005-0000-0000-000013160000}"/>
    <cellStyle name="Accent4 68 2" xfId="5652" xr:uid="{00000000-0005-0000-0000-000014160000}"/>
    <cellStyle name="Accent4 68 2 2" xfId="5653" xr:uid="{00000000-0005-0000-0000-000015160000}"/>
    <cellStyle name="Accent4 68 3" xfId="5654" xr:uid="{00000000-0005-0000-0000-000016160000}"/>
    <cellStyle name="Accent4 68 3 2" xfId="5655" xr:uid="{00000000-0005-0000-0000-000017160000}"/>
    <cellStyle name="Accent4 68 3 2 2" xfId="5656" xr:uid="{00000000-0005-0000-0000-000018160000}"/>
    <cellStyle name="Accent4 68 3 3" xfId="5657" xr:uid="{00000000-0005-0000-0000-000019160000}"/>
    <cellStyle name="Accent4 68 4" xfId="5658" xr:uid="{00000000-0005-0000-0000-00001A160000}"/>
    <cellStyle name="Accent4 69" xfId="5659" xr:uid="{00000000-0005-0000-0000-00001B160000}"/>
    <cellStyle name="Accent4 69 2" xfId="5660" xr:uid="{00000000-0005-0000-0000-00001C160000}"/>
    <cellStyle name="Accent4 69 2 2" xfId="5661" xr:uid="{00000000-0005-0000-0000-00001D160000}"/>
    <cellStyle name="Accent4 69 3" xfId="5662" xr:uid="{00000000-0005-0000-0000-00001E160000}"/>
    <cellStyle name="Accent4 69 3 2" xfId="5663" xr:uid="{00000000-0005-0000-0000-00001F160000}"/>
    <cellStyle name="Accent4 69 3 2 2" xfId="5664" xr:uid="{00000000-0005-0000-0000-000020160000}"/>
    <cellStyle name="Accent4 69 3 3" xfId="5665" xr:uid="{00000000-0005-0000-0000-000021160000}"/>
    <cellStyle name="Accent4 69 4" xfId="5666" xr:uid="{00000000-0005-0000-0000-000022160000}"/>
    <cellStyle name="Accent4 7" xfId="5667" xr:uid="{00000000-0005-0000-0000-000023160000}"/>
    <cellStyle name="Accent4 7 2" xfId="5668" xr:uid="{00000000-0005-0000-0000-000024160000}"/>
    <cellStyle name="Accent4 7 2 2" xfId="5669" xr:uid="{00000000-0005-0000-0000-000025160000}"/>
    <cellStyle name="Accent4 7 2 2 2" xfId="5670" xr:uid="{00000000-0005-0000-0000-000026160000}"/>
    <cellStyle name="Accent4 7 2 3" xfId="5671" xr:uid="{00000000-0005-0000-0000-000027160000}"/>
    <cellStyle name="Accent4 7 2 3 2" xfId="5672" xr:uid="{00000000-0005-0000-0000-000028160000}"/>
    <cellStyle name="Accent4 7 2 3 2 2" xfId="5673" xr:uid="{00000000-0005-0000-0000-000029160000}"/>
    <cellStyle name="Accent4 7 2 3 3" xfId="5674" xr:uid="{00000000-0005-0000-0000-00002A160000}"/>
    <cellStyle name="Accent4 7 2 4" xfId="5675" xr:uid="{00000000-0005-0000-0000-00002B160000}"/>
    <cellStyle name="Accent4 7 3" xfId="5676" xr:uid="{00000000-0005-0000-0000-00002C160000}"/>
    <cellStyle name="Accent4 7 3 2" xfId="5677" xr:uid="{00000000-0005-0000-0000-00002D160000}"/>
    <cellStyle name="Accent4 7 4" xfId="5678" xr:uid="{00000000-0005-0000-0000-00002E160000}"/>
    <cellStyle name="Accent4 7 4 2" xfId="5679" xr:uid="{00000000-0005-0000-0000-00002F160000}"/>
    <cellStyle name="Accent4 7 4 2 2" xfId="5680" xr:uid="{00000000-0005-0000-0000-000030160000}"/>
    <cellStyle name="Accent4 7 4 3" xfId="5681" xr:uid="{00000000-0005-0000-0000-000031160000}"/>
    <cellStyle name="Accent4 7 5" xfId="5682" xr:uid="{00000000-0005-0000-0000-000032160000}"/>
    <cellStyle name="Accent4 70" xfId="5683" xr:uid="{00000000-0005-0000-0000-000033160000}"/>
    <cellStyle name="Accent4 70 2" xfId="5684" xr:uid="{00000000-0005-0000-0000-000034160000}"/>
    <cellStyle name="Accent4 70 2 2" xfId="5685" xr:uid="{00000000-0005-0000-0000-000035160000}"/>
    <cellStyle name="Accent4 70 3" xfId="5686" xr:uid="{00000000-0005-0000-0000-000036160000}"/>
    <cellStyle name="Accent4 70 3 2" xfId="5687" xr:uid="{00000000-0005-0000-0000-000037160000}"/>
    <cellStyle name="Accent4 70 3 2 2" xfId="5688" xr:uid="{00000000-0005-0000-0000-000038160000}"/>
    <cellStyle name="Accent4 70 3 3" xfId="5689" xr:uid="{00000000-0005-0000-0000-000039160000}"/>
    <cellStyle name="Accent4 70 4" xfId="5690" xr:uid="{00000000-0005-0000-0000-00003A160000}"/>
    <cellStyle name="Accent4 71" xfId="5691" xr:uid="{00000000-0005-0000-0000-00003B160000}"/>
    <cellStyle name="Accent4 71 2" xfId="5692" xr:uid="{00000000-0005-0000-0000-00003C160000}"/>
    <cellStyle name="Accent4 71 2 2" xfId="5693" xr:uid="{00000000-0005-0000-0000-00003D160000}"/>
    <cellStyle name="Accent4 71 3" xfId="5694" xr:uid="{00000000-0005-0000-0000-00003E160000}"/>
    <cellStyle name="Accent4 71 3 2" xfId="5695" xr:uid="{00000000-0005-0000-0000-00003F160000}"/>
    <cellStyle name="Accent4 71 3 2 2" xfId="5696" xr:uid="{00000000-0005-0000-0000-000040160000}"/>
    <cellStyle name="Accent4 71 3 3" xfId="5697" xr:uid="{00000000-0005-0000-0000-000041160000}"/>
    <cellStyle name="Accent4 71 4" xfId="5698" xr:uid="{00000000-0005-0000-0000-000042160000}"/>
    <cellStyle name="Accent4 72" xfId="5699" xr:uid="{00000000-0005-0000-0000-000043160000}"/>
    <cellStyle name="Accent4 72 2" xfId="5700" xr:uid="{00000000-0005-0000-0000-000044160000}"/>
    <cellStyle name="Accent4 72 2 2" xfId="5701" xr:uid="{00000000-0005-0000-0000-000045160000}"/>
    <cellStyle name="Accent4 72 3" xfId="5702" xr:uid="{00000000-0005-0000-0000-000046160000}"/>
    <cellStyle name="Accent4 72 3 2" xfId="5703" xr:uid="{00000000-0005-0000-0000-000047160000}"/>
    <cellStyle name="Accent4 72 3 2 2" xfId="5704" xr:uid="{00000000-0005-0000-0000-000048160000}"/>
    <cellStyle name="Accent4 72 3 3" xfId="5705" xr:uid="{00000000-0005-0000-0000-000049160000}"/>
    <cellStyle name="Accent4 72 4" xfId="5706" xr:uid="{00000000-0005-0000-0000-00004A160000}"/>
    <cellStyle name="Accent4 73" xfId="5707" xr:uid="{00000000-0005-0000-0000-00004B160000}"/>
    <cellStyle name="Accent4 73 2" xfId="5708" xr:uid="{00000000-0005-0000-0000-00004C160000}"/>
    <cellStyle name="Accent4 73 2 2" xfId="5709" xr:uid="{00000000-0005-0000-0000-00004D160000}"/>
    <cellStyle name="Accent4 73 3" xfId="5710" xr:uid="{00000000-0005-0000-0000-00004E160000}"/>
    <cellStyle name="Accent4 73 3 2" xfId="5711" xr:uid="{00000000-0005-0000-0000-00004F160000}"/>
    <cellStyle name="Accent4 73 3 2 2" xfId="5712" xr:uid="{00000000-0005-0000-0000-000050160000}"/>
    <cellStyle name="Accent4 73 3 3" xfId="5713" xr:uid="{00000000-0005-0000-0000-000051160000}"/>
    <cellStyle name="Accent4 73 4" xfId="5714" xr:uid="{00000000-0005-0000-0000-000052160000}"/>
    <cellStyle name="Accent4 74" xfId="5715" xr:uid="{00000000-0005-0000-0000-000053160000}"/>
    <cellStyle name="Accent4 74 2" xfId="5716" xr:uid="{00000000-0005-0000-0000-000054160000}"/>
    <cellStyle name="Accent4 74 2 2" xfId="5717" xr:uid="{00000000-0005-0000-0000-000055160000}"/>
    <cellStyle name="Accent4 74 3" xfId="5718" xr:uid="{00000000-0005-0000-0000-000056160000}"/>
    <cellStyle name="Accent4 74 3 2" xfId="5719" xr:uid="{00000000-0005-0000-0000-000057160000}"/>
    <cellStyle name="Accent4 74 3 2 2" xfId="5720" xr:uid="{00000000-0005-0000-0000-000058160000}"/>
    <cellStyle name="Accent4 74 3 3" xfId="5721" xr:uid="{00000000-0005-0000-0000-000059160000}"/>
    <cellStyle name="Accent4 74 4" xfId="5722" xr:uid="{00000000-0005-0000-0000-00005A160000}"/>
    <cellStyle name="Accent4 75" xfId="5723" xr:uid="{00000000-0005-0000-0000-00005B160000}"/>
    <cellStyle name="Accent4 75 2" xfId="5724" xr:uid="{00000000-0005-0000-0000-00005C160000}"/>
    <cellStyle name="Accent4 75 2 2" xfId="5725" xr:uid="{00000000-0005-0000-0000-00005D160000}"/>
    <cellStyle name="Accent4 75 3" xfId="5726" xr:uid="{00000000-0005-0000-0000-00005E160000}"/>
    <cellStyle name="Accent4 75 3 2" xfId="5727" xr:uid="{00000000-0005-0000-0000-00005F160000}"/>
    <cellStyle name="Accent4 75 3 2 2" xfId="5728" xr:uid="{00000000-0005-0000-0000-000060160000}"/>
    <cellStyle name="Accent4 75 3 3" xfId="5729" xr:uid="{00000000-0005-0000-0000-000061160000}"/>
    <cellStyle name="Accent4 75 4" xfId="5730" xr:uid="{00000000-0005-0000-0000-000062160000}"/>
    <cellStyle name="Accent4 76" xfId="5731" xr:uid="{00000000-0005-0000-0000-000063160000}"/>
    <cellStyle name="Accent4 76 2" xfId="5732" xr:uid="{00000000-0005-0000-0000-000064160000}"/>
    <cellStyle name="Accent4 76 2 2" xfId="5733" xr:uid="{00000000-0005-0000-0000-000065160000}"/>
    <cellStyle name="Accent4 76 3" xfId="5734" xr:uid="{00000000-0005-0000-0000-000066160000}"/>
    <cellStyle name="Accent4 76 3 2" xfId="5735" xr:uid="{00000000-0005-0000-0000-000067160000}"/>
    <cellStyle name="Accent4 76 3 2 2" xfId="5736" xr:uid="{00000000-0005-0000-0000-000068160000}"/>
    <cellStyle name="Accent4 76 3 3" xfId="5737" xr:uid="{00000000-0005-0000-0000-000069160000}"/>
    <cellStyle name="Accent4 76 4" xfId="5738" xr:uid="{00000000-0005-0000-0000-00006A160000}"/>
    <cellStyle name="Accent4 77" xfId="5739" xr:uid="{00000000-0005-0000-0000-00006B160000}"/>
    <cellStyle name="Accent4 77 2" xfId="5740" xr:uid="{00000000-0005-0000-0000-00006C160000}"/>
    <cellStyle name="Accent4 77 2 2" xfId="5741" xr:uid="{00000000-0005-0000-0000-00006D160000}"/>
    <cellStyle name="Accent4 77 3" xfId="5742" xr:uid="{00000000-0005-0000-0000-00006E160000}"/>
    <cellStyle name="Accent4 77 3 2" xfId="5743" xr:uid="{00000000-0005-0000-0000-00006F160000}"/>
    <cellStyle name="Accent4 77 3 2 2" xfId="5744" xr:uid="{00000000-0005-0000-0000-000070160000}"/>
    <cellStyle name="Accent4 77 3 3" xfId="5745" xr:uid="{00000000-0005-0000-0000-000071160000}"/>
    <cellStyle name="Accent4 77 4" xfId="5746" xr:uid="{00000000-0005-0000-0000-000072160000}"/>
    <cellStyle name="Accent4 78" xfId="5747" xr:uid="{00000000-0005-0000-0000-000073160000}"/>
    <cellStyle name="Accent4 78 2" xfId="5748" xr:uid="{00000000-0005-0000-0000-000074160000}"/>
    <cellStyle name="Accent4 78 2 2" xfId="5749" xr:uid="{00000000-0005-0000-0000-000075160000}"/>
    <cellStyle name="Accent4 78 3" xfId="5750" xr:uid="{00000000-0005-0000-0000-000076160000}"/>
    <cellStyle name="Accent4 78 3 2" xfId="5751" xr:uid="{00000000-0005-0000-0000-000077160000}"/>
    <cellStyle name="Accent4 78 3 2 2" xfId="5752" xr:uid="{00000000-0005-0000-0000-000078160000}"/>
    <cellStyle name="Accent4 78 3 3" xfId="5753" xr:uid="{00000000-0005-0000-0000-000079160000}"/>
    <cellStyle name="Accent4 78 4" xfId="5754" xr:uid="{00000000-0005-0000-0000-00007A160000}"/>
    <cellStyle name="Accent4 79" xfId="5755" xr:uid="{00000000-0005-0000-0000-00007B160000}"/>
    <cellStyle name="Accent4 79 2" xfId="5756" xr:uid="{00000000-0005-0000-0000-00007C160000}"/>
    <cellStyle name="Accent4 79 2 2" xfId="5757" xr:uid="{00000000-0005-0000-0000-00007D160000}"/>
    <cellStyle name="Accent4 79 3" xfId="5758" xr:uid="{00000000-0005-0000-0000-00007E160000}"/>
    <cellStyle name="Accent4 79 3 2" xfId="5759" xr:uid="{00000000-0005-0000-0000-00007F160000}"/>
    <cellStyle name="Accent4 79 3 2 2" xfId="5760" xr:uid="{00000000-0005-0000-0000-000080160000}"/>
    <cellStyle name="Accent4 79 3 3" xfId="5761" xr:uid="{00000000-0005-0000-0000-000081160000}"/>
    <cellStyle name="Accent4 79 4" xfId="5762" xr:uid="{00000000-0005-0000-0000-000082160000}"/>
    <cellStyle name="Accent4 8" xfId="5763" xr:uid="{00000000-0005-0000-0000-000083160000}"/>
    <cellStyle name="Accent4 8 2" xfId="5764" xr:uid="{00000000-0005-0000-0000-000084160000}"/>
    <cellStyle name="Accent4 8 2 2" xfId="5765" xr:uid="{00000000-0005-0000-0000-000085160000}"/>
    <cellStyle name="Accent4 8 3" xfId="5766" xr:uid="{00000000-0005-0000-0000-000086160000}"/>
    <cellStyle name="Accent4 80" xfId="5767" xr:uid="{00000000-0005-0000-0000-000087160000}"/>
    <cellStyle name="Accent4 80 2" xfId="5768" xr:uid="{00000000-0005-0000-0000-000088160000}"/>
    <cellStyle name="Accent4 80 2 2" xfId="5769" xr:uid="{00000000-0005-0000-0000-000089160000}"/>
    <cellStyle name="Accent4 80 3" xfId="5770" xr:uid="{00000000-0005-0000-0000-00008A160000}"/>
    <cellStyle name="Accent4 80 3 2" xfId="5771" xr:uid="{00000000-0005-0000-0000-00008B160000}"/>
    <cellStyle name="Accent4 80 3 2 2" xfId="5772" xr:uid="{00000000-0005-0000-0000-00008C160000}"/>
    <cellStyle name="Accent4 80 3 3" xfId="5773" xr:uid="{00000000-0005-0000-0000-00008D160000}"/>
    <cellStyle name="Accent4 80 4" xfId="5774" xr:uid="{00000000-0005-0000-0000-00008E160000}"/>
    <cellStyle name="Accent4 81" xfId="5775" xr:uid="{00000000-0005-0000-0000-00008F160000}"/>
    <cellStyle name="Accent4 81 2" xfId="5776" xr:uid="{00000000-0005-0000-0000-000090160000}"/>
    <cellStyle name="Accent4 81 2 2" xfId="5777" xr:uid="{00000000-0005-0000-0000-000091160000}"/>
    <cellStyle name="Accent4 81 3" xfId="5778" xr:uid="{00000000-0005-0000-0000-000092160000}"/>
    <cellStyle name="Accent4 81 3 2" xfId="5779" xr:uid="{00000000-0005-0000-0000-000093160000}"/>
    <cellStyle name="Accent4 81 3 2 2" xfId="5780" xr:uid="{00000000-0005-0000-0000-000094160000}"/>
    <cellStyle name="Accent4 81 3 3" xfId="5781" xr:uid="{00000000-0005-0000-0000-000095160000}"/>
    <cellStyle name="Accent4 81 4" xfId="5782" xr:uid="{00000000-0005-0000-0000-000096160000}"/>
    <cellStyle name="Accent4 82" xfId="5783" xr:uid="{00000000-0005-0000-0000-000097160000}"/>
    <cellStyle name="Accent4 82 2" xfId="5784" xr:uid="{00000000-0005-0000-0000-000098160000}"/>
    <cellStyle name="Accent4 82 2 2" xfId="5785" xr:uid="{00000000-0005-0000-0000-000099160000}"/>
    <cellStyle name="Accent4 82 3" xfId="5786" xr:uid="{00000000-0005-0000-0000-00009A160000}"/>
    <cellStyle name="Accent4 82 3 2" xfId="5787" xr:uid="{00000000-0005-0000-0000-00009B160000}"/>
    <cellStyle name="Accent4 82 3 2 2" xfId="5788" xr:uid="{00000000-0005-0000-0000-00009C160000}"/>
    <cellStyle name="Accent4 82 3 3" xfId="5789" xr:uid="{00000000-0005-0000-0000-00009D160000}"/>
    <cellStyle name="Accent4 82 4" xfId="5790" xr:uid="{00000000-0005-0000-0000-00009E160000}"/>
    <cellStyle name="Accent4 83" xfId="5791" xr:uid="{00000000-0005-0000-0000-00009F160000}"/>
    <cellStyle name="Accent4 83 2" xfId="5792" xr:uid="{00000000-0005-0000-0000-0000A0160000}"/>
    <cellStyle name="Accent4 83 2 2" xfId="5793" xr:uid="{00000000-0005-0000-0000-0000A1160000}"/>
    <cellStyle name="Accent4 83 3" xfId="5794" xr:uid="{00000000-0005-0000-0000-0000A2160000}"/>
    <cellStyle name="Accent4 83 3 2" xfId="5795" xr:uid="{00000000-0005-0000-0000-0000A3160000}"/>
    <cellStyle name="Accent4 83 3 2 2" xfId="5796" xr:uid="{00000000-0005-0000-0000-0000A4160000}"/>
    <cellStyle name="Accent4 83 3 3" xfId="5797" xr:uid="{00000000-0005-0000-0000-0000A5160000}"/>
    <cellStyle name="Accent4 83 4" xfId="5798" xr:uid="{00000000-0005-0000-0000-0000A6160000}"/>
    <cellStyle name="Accent4 84" xfId="5799" xr:uid="{00000000-0005-0000-0000-0000A7160000}"/>
    <cellStyle name="Accent4 84 2" xfId="5800" xr:uid="{00000000-0005-0000-0000-0000A8160000}"/>
    <cellStyle name="Accent4 84 2 2" xfId="5801" xr:uid="{00000000-0005-0000-0000-0000A9160000}"/>
    <cellStyle name="Accent4 84 3" xfId="5802" xr:uid="{00000000-0005-0000-0000-0000AA160000}"/>
    <cellStyle name="Accent4 85" xfId="5803" xr:uid="{00000000-0005-0000-0000-0000AB160000}"/>
    <cellStyle name="Accent4 85 2" xfId="5804" xr:uid="{00000000-0005-0000-0000-0000AC160000}"/>
    <cellStyle name="Accent4 85 2 2" xfId="5805" xr:uid="{00000000-0005-0000-0000-0000AD160000}"/>
    <cellStyle name="Accent4 85 3" xfId="5806" xr:uid="{00000000-0005-0000-0000-0000AE160000}"/>
    <cellStyle name="Accent4 86" xfId="5807" xr:uid="{00000000-0005-0000-0000-0000AF160000}"/>
    <cellStyle name="Accent4 86 2" xfId="5808" xr:uid="{00000000-0005-0000-0000-0000B0160000}"/>
    <cellStyle name="Accent4 86 2 2" xfId="5809" xr:uid="{00000000-0005-0000-0000-0000B1160000}"/>
    <cellStyle name="Accent4 86 3" xfId="5810" xr:uid="{00000000-0005-0000-0000-0000B2160000}"/>
    <cellStyle name="Accent4 87" xfId="5811" xr:uid="{00000000-0005-0000-0000-0000B3160000}"/>
    <cellStyle name="Accent4 87 2" xfId="5812" xr:uid="{00000000-0005-0000-0000-0000B4160000}"/>
    <cellStyle name="Accent4 87 2 2" xfId="5813" xr:uid="{00000000-0005-0000-0000-0000B5160000}"/>
    <cellStyle name="Accent4 87 3" xfId="5814" xr:uid="{00000000-0005-0000-0000-0000B6160000}"/>
    <cellStyle name="Accent4 88" xfId="5815" xr:uid="{00000000-0005-0000-0000-0000B7160000}"/>
    <cellStyle name="Accent4 88 2" xfId="5816" xr:uid="{00000000-0005-0000-0000-0000B8160000}"/>
    <cellStyle name="Accent4 88 2 2" xfId="5817" xr:uid="{00000000-0005-0000-0000-0000B9160000}"/>
    <cellStyle name="Accent4 88 3" xfId="5818" xr:uid="{00000000-0005-0000-0000-0000BA160000}"/>
    <cellStyle name="Accent4 89" xfId="5819" xr:uid="{00000000-0005-0000-0000-0000BB160000}"/>
    <cellStyle name="Accent4 89 2" xfId="5820" xr:uid="{00000000-0005-0000-0000-0000BC160000}"/>
    <cellStyle name="Accent4 89 2 2" xfId="5821" xr:uid="{00000000-0005-0000-0000-0000BD160000}"/>
    <cellStyle name="Accent4 89 3" xfId="5822" xr:uid="{00000000-0005-0000-0000-0000BE160000}"/>
    <cellStyle name="Accent4 9" xfId="5823" xr:uid="{00000000-0005-0000-0000-0000BF160000}"/>
    <cellStyle name="Accent4 9 2" xfId="5824" xr:uid="{00000000-0005-0000-0000-0000C0160000}"/>
    <cellStyle name="Accent4 9 2 2" xfId="5825" xr:uid="{00000000-0005-0000-0000-0000C1160000}"/>
    <cellStyle name="Accent4 9 3" xfId="5826" xr:uid="{00000000-0005-0000-0000-0000C2160000}"/>
    <cellStyle name="Accent4 90" xfId="5827" xr:uid="{00000000-0005-0000-0000-0000C3160000}"/>
    <cellStyle name="Accent4 90 2" xfId="5828" xr:uid="{00000000-0005-0000-0000-0000C4160000}"/>
    <cellStyle name="Accent4 90 2 2" xfId="5829" xr:uid="{00000000-0005-0000-0000-0000C5160000}"/>
    <cellStyle name="Accent4 90 3" xfId="5830" xr:uid="{00000000-0005-0000-0000-0000C6160000}"/>
    <cellStyle name="Accent4 91" xfId="5831" xr:uid="{00000000-0005-0000-0000-0000C7160000}"/>
    <cellStyle name="Accent4 91 2" xfId="5832" xr:uid="{00000000-0005-0000-0000-0000C8160000}"/>
    <cellStyle name="Accent4 91 2 2" xfId="5833" xr:uid="{00000000-0005-0000-0000-0000C9160000}"/>
    <cellStyle name="Accent4 91 3" xfId="5834" xr:uid="{00000000-0005-0000-0000-0000CA160000}"/>
    <cellStyle name="Accent4 92" xfId="5835" xr:uid="{00000000-0005-0000-0000-0000CB160000}"/>
    <cellStyle name="Accent4 92 2" xfId="5836" xr:uid="{00000000-0005-0000-0000-0000CC160000}"/>
    <cellStyle name="Accent4 92 2 2" xfId="5837" xr:uid="{00000000-0005-0000-0000-0000CD160000}"/>
    <cellStyle name="Accent4 92 3" xfId="5838" xr:uid="{00000000-0005-0000-0000-0000CE160000}"/>
    <cellStyle name="Accent4 93" xfId="5839" xr:uid="{00000000-0005-0000-0000-0000CF160000}"/>
    <cellStyle name="Accent4 93 2" xfId="5840" xr:uid="{00000000-0005-0000-0000-0000D0160000}"/>
    <cellStyle name="Accent4 93 2 2" xfId="5841" xr:uid="{00000000-0005-0000-0000-0000D1160000}"/>
    <cellStyle name="Accent4 93 3" xfId="5842" xr:uid="{00000000-0005-0000-0000-0000D2160000}"/>
    <cellStyle name="Accent4 94" xfId="5843" xr:uid="{00000000-0005-0000-0000-0000D3160000}"/>
    <cellStyle name="Accent4 94 2" xfId="5844" xr:uid="{00000000-0005-0000-0000-0000D4160000}"/>
    <cellStyle name="Accent4 94 2 2" xfId="5845" xr:uid="{00000000-0005-0000-0000-0000D5160000}"/>
    <cellStyle name="Accent4 94 3" xfId="5846" xr:uid="{00000000-0005-0000-0000-0000D6160000}"/>
    <cellStyle name="Accent4 95" xfId="5847" xr:uid="{00000000-0005-0000-0000-0000D7160000}"/>
    <cellStyle name="Accent4 95 2" xfId="5848" xr:uid="{00000000-0005-0000-0000-0000D8160000}"/>
    <cellStyle name="Accent4 95 2 2" xfId="5849" xr:uid="{00000000-0005-0000-0000-0000D9160000}"/>
    <cellStyle name="Accent4 95 3" xfId="5850" xr:uid="{00000000-0005-0000-0000-0000DA160000}"/>
    <cellStyle name="Accent4 96" xfId="5851" xr:uid="{00000000-0005-0000-0000-0000DB160000}"/>
    <cellStyle name="Accent4 96 2" xfId="5852" xr:uid="{00000000-0005-0000-0000-0000DC160000}"/>
    <cellStyle name="Accent4 96 2 2" xfId="5853" xr:uid="{00000000-0005-0000-0000-0000DD160000}"/>
    <cellStyle name="Accent4 96 3" xfId="5854" xr:uid="{00000000-0005-0000-0000-0000DE160000}"/>
    <cellStyle name="Accent4 97" xfId="5855" xr:uid="{00000000-0005-0000-0000-0000DF160000}"/>
    <cellStyle name="Accent4 97 2" xfId="5856" xr:uid="{00000000-0005-0000-0000-0000E0160000}"/>
    <cellStyle name="Accent4 97 2 2" xfId="5857" xr:uid="{00000000-0005-0000-0000-0000E1160000}"/>
    <cellStyle name="Accent4 97 3" xfId="5858" xr:uid="{00000000-0005-0000-0000-0000E2160000}"/>
    <cellStyle name="Accent4 98" xfId="5859" xr:uid="{00000000-0005-0000-0000-0000E3160000}"/>
    <cellStyle name="Accent4 98 2" xfId="5860" xr:uid="{00000000-0005-0000-0000-0000E4160000}"/>
    <cellStyle name="Accent4 98 2 2" xfId="5861" xr:uid="{00000000-0005-0000-0000-0000E5160000}"/>
    <cellStyle name="Accent4 98 3" xfId="5862" xr:uid="{00000000-0005-0000-0000-0000E6160000}"/>
    <cellStyle name="Accent4 99" xfId="5863" xr:uid="{00000000-0005-0000-0000-0000E7160000}"/>
    <cellStyle name="Accent4 99 2" xfId="5864" xr:uid="{00000000-0005-0000-0000-0000E8160000}"/>
    <cellStyle name="Accent4 99 2 2" xfId="5865" xr:uid="{00000000-0005-0000-0000-0000E9160000}"/>
    <cellStyle name="Accent4 99 3" xfId="5866" xr:uid="{00000000-0005-0000-0000-0000EA160000}"/>
    <cellStyle name="Accent5 - 20%" xfId="5867" xr:uid="{00000000-0005-0000-0000-0000EB160000}"/>
    <cellStyle name="Accent5 - 20% 10" xfId="5868" xr:uid="{00000000-0005-0000-0000-0000EC160000}"/>
    <cellStyle name="Accent5 - 20% 11" xfId="5869" xr:uid="{00000000-0005-0000-0000-0000ED160000}"/>
    <cellStyle name="Accent5 - 20% 2" xfId="5870" xr:uid="{00000000-0005-0000-0000-0000EE160000}"/>
    <cellStyle name="Accent5 - 20% 2 2" xfId="5871" xr:uid="{00000000-0005-0000-0000-0000EF160000}"/>
    <cellStyle name="Accent5 - 20% 2 2 2" xfId="5872" xr:uid="{00000000-0005-0000-0000-0000F0160000}"/>
    <cellStyle name="Accent5 - 20% 2 2 2 2" xfId="5873" xr:uid="{00000000-0005-0000-0000-0000F1160000}"/>
    <cellStyle name="Accent5 - 20% 2 2 3" xfId="5874" xr:uid="{00000000-0005-0000-0000-0000F2160000}"/>
    <cellStyle name="Accent5 - 20% 2 3" xfId="5875" xr:uid="{00000000-0005-0000-0000-0000F3160000}"/>
    <cellStyle name="Accent5 - 20% 2 3 2" xfId="5876" xr:uid="{00000000-0005-0000-0000-0000F4160000}"/>
    <cellStyle name="Accent5 - 20% 2 3 2 2" xfId="5877" xr:uid="{00000000-0005-0000-0000-0000F5160000}"/>
    <cellStyle name="Accent5 - 20% 2 3 2 2 2" xfId="5878" xr:uid="{00000000-0005-0000-0000-0000F6160000}"/>
    <cellStyle name="Accent5 - 20% 2 3 2 3" xfId="5879" xr:uid="{00000000-0005-0000-0000-0000F7160000}"/>
    <cellStyle name="Accent5 - 20% 2 3 3" xfId="5880" xr:uid="{00000000-0005-0000-0000-0000F8160000}"/>
    <cellStyle name="Accent5 - 20% 2 3 3 2" xfId="5881" xr:uid="{00000000-0005-0000-0000-0000F9160000}"/>
    <cellStyle name="Accent5 - 20% 2 3 4" xfId="5882" xr:uid="{00000000-0005-0000-0000-0000FA160000}"/>
    <cellStyle name="Accent5 - 20% 2 4" xfId="5883" xr:uid="{00000000-0005-0000-0000-0000FB160000}"/>
    <cellStyle name="Accent5 - 20% 2 4 2" xfId="5884" xr:uid="{00000000-0005-0000-0000-0000FC160000}"/>
    <cellStyle name="Accent5 - 20% 2 4 2 2" xfId="5885" xr:uid="{00000000-0005-0000-0000-0000FD160000}"/>
    <cellStyle name="Accent5 - 20% 2 4 2 2 2" xfId="5886" xr:uid="{00000000-0005-0000-0000-0000FE160000}"/>
    <cellStyle name="Accent5 - 20% 2 4 2 3" xfId="5887" xr:uid="{00000000-0005-0000-0000-0000FF160000}"/>
    <cellStyle name="Accent5 - 20% 2 4 3" xfId="5888" xr:uid="{00000000-0005-0000-0000-000000170000}"/>
    <cellStyle name="Accent5 - 20% 2 4 3 2" xfId="5889" xr:uid="{00000000-0005-0000-0000-000001170000}"/>
    <cellStyle name="Accent5 - 20% 2 4 4" xfId="5890" xr:uid="{00000000-0005-0000-0000-000002170000}"/>
    <cellStyle name="Accent5 - 20% 2 5" xfId="5891" xr:uid="{00000000-0005-0000-0000-000003170000}"/>
    <cellStyle name="Accent5 - 20% 2 5 2" xfId="5892" xr:uid="{00000000-0005-0000-0000-000004170000}"/>
    <cellStyle name="Accent5 - 20% 2 6" xfId="5893" xr:uid="{00000000-0005-0000-0000-000005170000}"/>
    <cellStyle name="Accent5 - 20% 2 6 2" xfId="5894" xr:uid="{00000000-0005-0000-0000-000006170000}"/>
    <cellStyle name="Accent5 - 20% 2 7" xfId="5895" xr:uid="{00000000-0005-0000-0000-000007170000}"/>
    <cellStyle name="Accent5 - 20% 3" xfId="5896" xr:uid="{00000000-0005-0000-0000-000008170000}"/>
    <cellStyle name="Accent5 - 20% 3 2" xfId="5897" xr:uid="{00000000-0005-0000-0000-000009170000}"/>
    <cellStyle name="Accent5 - 20% 3 2 2" xfId="5898" xr:uid="{00000000-0005-0000-0000-00000A170000}"/>
    <cellStyle name="Accent5 - 20% 3 2 2 2" xfId="5899" xr:uid="{00000000-0005-0000-0000-00000B170000}"/>
    <cellStyle name="Accent5 - 20% 3 2 3" xfId="5900" xr:uid="{00000000-0005-0000-0000-00000C170000}"/>
    <cellStyle name="Accent5 - 20% 3 3" xfId="5901" xr:uid="{00000000-0005-0000-0000-00000D170000}"/>
    <cellStyle name="Accent5 - 20% 3 3 2" xfId="5902" xr:uid="{00000000-0005-0000-0000-00000E170000}"/>
    <cellStyle name="Accent5 - 20% 3 4" xfId="5903" xr:uid="{00000000-0005-0000-0000-00000F170000}"/>
    <cellStyle name="Accent5 - 20% 4" xfId="5904" xr:uid="{00000000-0005-0000-0000-000010170000}"/>
    <cellStyle name="Accent5 - 20% 4 2" xfId="5905" xr:uid="{00000000-0005-0000-0000-000011170000}"/>
    <cellStyle name="Accent5 - 20% 4 2 2" xfId="5906" xr:uid="{00000000-0005-0000-0000-000012170000}"/>
    <cellStyle name="Accent5 - 20% 4 3" xfId="5907" xr:uid="{00000000-0005-0000-0000-000013170000}"/>
    <cellStyle name="Accent5 - 20% 5" xfId="5908" xr:uid="{00000000-0005-0000-0000-000014170000}"/>
    <cellStyle name="Accent5 - 20% 5 2" xfId="5909" xr:uid="{00000000-0005-0000-0000-000015170000}"/>
    <cellStyle name="Accent5 - 20% 5 2 2" xfId="5910" xr:uid="{00000000-0005-0000-0000-000016170000}"/>
    <cellStyle name="Accent5 - 20% 5 3" xfId="5911" xr:uid="{00000000-0005-0000-0000-000017170000}"/>
    <cellStyle name="Accent5 - 20% 6" xfId="5912" xr:uid="{00000000-0005-0000-0000-000018170000}"/>
    <cellStyle name="Accent5 - 20% 6 2" xfId="5913" xr:uid="{00000000-0005-0000-0000-000019170000}"/>
    <cellStyle name="Accent5 - 20% 7" xfId="5914" xr:uid="{00000000-0005-0000-0000-00001A170000}"/>
    <cellStyle name="Accent5 - 20% 7 2" xfId="5915" xr:uid="{00000000-0005-0000-0000-00001B170000}"/>
    <cellStyle name="Accent5 - 20% 8" xfId="5916" xr:uid="{00000000-0005-0000-0000-00001C170000}"/>
    <cellStyle name="Accent5 - 20% 8 2" xfId="5917" xr:uid="{00000000-0005-0000-0000-00001D170000}"/>
    <cellStyle name="Accent5 - 20% 9" xfId="5918" xr:uid="{00000000-0005-0000-0000-00001E170000}"/>
    <cellStyle name="Accent5 - 20% 9 2" xfId="5919" xr:uid="{00000000-0005-0000-0000-00001F170000}"/>
    <cellStyle name="Accent5 - 40%" xfId="5920" xr:uid="{00000000-0005-0000-0000-000020170000}"/>
    <cellStyle name="Accent5 - 40% 2" xfId="5921" xr:uid="{00000000-0005-0000-0000-000021170000}"/>
    <cellStyle name="Accent5 - 40% 2 2" xfId="5922" xr:uid="{00000000-0005-0000-0000-000022170000}"/>
    <cellStyle name="Accent5 - 40% 2 2 2" xfId="5923" xr:uid="{00000000-0005-0000-0000-000023170000}"/>
    <cellStyle name="Accent5 - 40% 2 2 2 2" xfId="5924" xr:uid="{00000000-0005-0000-0000-000024170000}"/>
    <cellStyle name="Accent5 - 40% 2 2 3" xfId="5925" xr:uid="{00000000-0005-0000-0000-000025170000}"/>
    <cellStyle name="Accent5 - 40% 2 3" xfId="5926" xr:uid="{00000000-0005-0000-0000-000026170000}"/>
    <cellStyle name="Accent5 - 40% 2 3 2" xfId="5927" xr:uid="{00000000-0005-0000-0000-000027170000}"/>
    <cellStyle name="Accent5 - 40% 2 3 2 2" xfId="5928" xr:uid="{00000000-0005-0000-0000-000028170000}"/>
    <cellStyle name="Accent5 - 40% 2 3 2 2 2" xfId="5929" xr:uid="{00000000-0005-0000-0000-000029170000}"/>
    <cellStyle name="Accent5 - 40% 2 3 2 3" xfId="5930" xr:uid="{00000000-0005-0000-0000-00002A170000}"/>
    <cellStyle name="Accent5 - 40% 2 3 3" xfId="5931" xr:uid="{00000000-0005-0000-0000-00002B170000}"/>
    <cellStyle name="Accent5 - 40% 2 3 3 2" xfId="5932" xr:uid="{00000000-0005-0000-0000-00002C170000}"/>
    <cellStyle name="Accent5 - 40% 2 3 4" xfId="5933" xr:uid="{00000000-0005-0000-0000-00002D170000}"/>
    <cellStyle name="Accent5 - 40% 2 4" xfId="5934" xr:uid="{00000000-0005-0000-0000-00002E170000}"/>
    <cellStyle name="Accent5 - 40% 2 4 2" xfId="5935" xr:uid="{00000000-0005-0000-0000-00002F170000}"/>
    <cellStyle name="Accent5 - 40% 2 5" xfId="5936" xr:uid="{00000000-0005-0000-0000-000030170000}"/>
    <cellStyle name="Accent5 - 40% 2 5 2" xfId="5937" xr:uid="{00000000-0005-0000-0000-000031170000}"/>
    <cellStyle name="Accent5 - 40% 2 6" xfId="5938" xr:uid="{00000000-0005-0000-0000-000032170000}"/>
    <cellStyle name="Accent5 - 40% 3" xfId="5939" xr:uid="{00000000-0005-0000-0000-000033170000}"/>
    <cellStyle name="Accent5 - 40% 3 2" xfId="5940" xr:uid="{00000000-0005-0000-0000-000034170000}"/>
    <cellStyle name="Accent5 - 40% 3 2 2" xfId="5941" xr:uid="{00000000-0005-0000-0000-000035170000}"/>
    <cellStyle name="Accent5 - 40% 3 2 2 2" xfId="5942" xr:uid="{00000000-0005-0000-0000-000036170000}"/>
    <cellStyle name="Accent5 - 40% 3 2 3" xfId="5943" xr:uid="{00000000-0005-0000-0000-000037170000}"/>
    <cellStyle name="Accent5 - 40% 3 3" xfId="5944" xr:uid="{00000000-0005-0000-0000-000038170000}"/>
    <cellStyle name="Accent5 - 40% 3 3 2" xfId="5945" xr:uid="{00000000-0005-0000-0000-000039170000}"/>
    <cellStyle name="Accent5 - 40% 3 4" xfId="5946" xr:uid="{00000000-0005-0000-0000-00003A170000}"/>
    <cellStyle name="Accent5 - 40% 4" xfId="5947" xr:uid="{00000000-0005-0000-0000-00003B170000}"/>
    <cellStyle name="Accent5 - 40% 4 2" xfId="5948" xr:uid="{00000000-0005-0000-0000-00003C170000}"/>
    <cellStyle name="Accent5 - 40% 4 2 2" xfId="5949" xr:uid="{00000000-0005-0000-0000-00003D170000}"/>
    <cellStyle name="Accent5 - 40% 4 3" xfId="5950" xr:uid="{00000000-0005-0000-0000-00003E170000}"/>
    <cellStyle name="Accent5 - 40% 5" xfId="5951" xr:uid="{00000000-0005-0000-0000-00003F170000}"/>
    <cellStyle name="Accent5 - 40% 5 2" xfId="5952" xr:uid="{00000000-0005-0000-0000-000040170000}"/>
    <cellStyle name="Accent5 - 40% 6" xfId="5953" xr:uid="{00000000-0005-0000-0000-000041170000}"/>
    <cellStyle name="Accent5 - 40% 6 2" xfId="5954" xr:uid="{00000000-0005-0000-0000-000042170000}"/>
    <cellStyle name="Accent5 - 40% 7" xfId="5955" xr:uid="{00000000-0005-0000-0000-000043170000}"/>
    <cellStyle name="Accent5 - 40% 8" xfId="5956" xr:uid="{00000000-0005-0000-0000-000044170000}"/>
    <cellStyle name="Accent5 - 60%" xfId="5957" xr:uid="{00000000-0005-0000-0000-000045170000}"/>
    <cellStyle name="Accent5 - 60% 10" xfId="5958" xr:uid="{00000000-0005-0000-0000-000046170000}"/>
    <cellStyle name="Accent5 - 60% 2" xfId="5959" xr:uid="{00000000-0005-0000-0000-000047170000}"/>
    <cellStyle name="Accent5 - 60% 2 2" xfId="5960" xr:uid="{00000000-0005-0000-0000-000048170000}"/>
    <cellStyle name="Accent5 - 60% 2 2 2" xfId="5961" xr:uid="{00000000-0005-0000-0000-000049170000}"/>
    <cellStyle name="Accent5 - 60% 2 3" xfId="5962" xr:uid="{00000000-0005-0000-0000-00004A170000}"/>
    <cellStyle name="Accent5 - 60% 2 3 2" xfId="5963" xr:uid="{00000000-0005-0000-0000-00004B170000}"/>
    <cellStyle name="Accent5 - 60% 2 3 2 2" xfId="5964" xr:uid="{00000000-0005-0000-0000-00004C170000}"/>
    <cellStyle name="Accent5 - 60% 2 3 3" xfId="5965" xr:uid="{00000000-0005-0000-0000-00004D170000}"/>
    <cellStyle name="Accent5 - 60% 2 4" xfId="5966" xr:uid="{00000000-0005-0000-0000-00004E170000}"/>
    <cellStyle name="Accent5 - 60% 2 4 2" xfId="5967" xr:uid="{00000000-0005-0000-0000-00004F170000}"/>
    <cellStyle name="Accent5 - 60% 2 4 2 2" xfId="5968" xr:uid="{00000000-0005-0000-0000-000050170000}"/>
    <cellStyle name="Accent5 - 60% 2 4 3" xfId="5969" xr:uid="{00000000-0005-0000-0000-000051170000}"/>
    <cellStyle name="Accent5 - 60% 2 5" xfId="5970" xr:uid="{00000000-0005-0000-0000-000052170000}"/>
    <cellStyle name="Accent5 - 60% 3" xfId="5971" xr:uid="{00000000-0005-0000-0000-000053170000}"/>
    <cellStyle name="Accent5 - 60% 3 2" xfId="5972" xr:uid="{00000000-0005-0000-0000-000054170000}"/>
    <cellStyle name="Accent5 - 60% 3 2 2" xfId="5973" xr:uid="{00000000-0005-0000-0000-000055170000}"/>
    <cellStyle name="Accent5 - 60% 3 3" xfId="5974" xr:uid="{00000000-0005-0000-0000-000056170000}"/>
    <cellStyle name="Accent5 - 60% 4" xfId="5975" xr:uid="{00000000-0005-0000-0000-000057170000}"/>
    <cellStyle name="Accent5 - 60% 4 2" xfId="5976" xr:uid="{00000000-0005-0000-0000-000058170000}"/>
    <cellStyle name="Accent5 - 60% 5" xfId="5977" xr:uid="{00000000-0005-0000-0000-000059170000}"/>
    <cellStyle name="Accent5 - 60% 5 2" xfId="5978" xr:uid="{00000000-0005-0000-0000-00005A170000}"/>
    <cellStyle name="Accent5 - 60% 6" xfId="5979" xr:uid="{00000000-0005-0000-0000-00005B170000}"/>
    <cellStyle name="Accent5 - 60% 6 2" xfId="5980" xr:uid="{00000000-0005-0000-0000-00005C170000}"/>
    <cellStyle name="Accent5 - 60% 6 2 2" xfId="5981" xr:uid="{00000000-0005-0000-0000-00005D170000}"/>
    <cellStyle name="Accent5 - 60% 6 3" xfId="5982" xr:uid="{00000000-0005-0000-0000-00005E170000}"/>
    <cellStyle name="Accent5 - 60% 7" xfId="5983" xr:uid="{00000000-0005-0000-0000-00005F170000}"/>
    <cellStyle name="Accent5 - 60% 7 2" xfId="5984" xr:uid="{00000000-0005-0000-0000-000060170000}"/>
    <cellStyle name="Accent5 - 60% 8" xfId="5985" xr:uid="{00000000-0005-0000-0000-000061170000}"/>
    <cellStyle name="Accent5 - 60% 8 2" xfId="5986" xr:uid="{00000000-0005-0000-0000-000062170000}"/>
    <cellStyle name="Accent5 - 60% 9" xfId="5987" xr:uid="{00000000-0005-0000-0000-000063170000}"/>
    <cellStyle name="Accent5 10" xfId="5988" xr:uid="{00000000-0005-0000-0000-000064170000}"/>
    <cellStyle name="Accent5 10 2" xfId="5989" xr:uid="{00000000-0005-0000-0000-000065170000}"/>
    <cellStyle name="Accent5 10 2 2" xfId="5990" xr:uid="{00000000-0005-0000-0000-000066170000}"/>
    <cellStyle name="Accent5 10 3" xfId="5991" xr:uid="{00000000-0005-0000-0000-000067170000}"/>
    <cellStyle name="Accent5 100" xfId="5992" xr:uid="{00000000-0005-0000-0000-000068170000}"/>
    <cellStyle name="Accent5 100 2" xfId="5993" xr:uid="{00000000-0005-0000-0000-000069170000}"/>
    <cellStyle name="Accent5 100 2 2" xfId="5994" xr:uid="{00000000-0005-0000-0000-00006A170000}"/>
    <cellStyle name="Accent5 100 3" xfId="5995" xr:uid="{00000000-0005-0000-0000-00006B170000}"/>
    <cellStyle name="Accent5 101" xfId="5996" xr:uid="{00000000-0005-0000-0000-00006C170000}"/>
    <cellStyle name="Accent5 101 2" xfId="5997" xr:uid="{00000000-0005-0000-0000-00006D170000}"/>
    <cellStyle name="Accent5 101 2 2" xfId="5998" xr:uid="{00000000-0005-0000-0000-00006E170000}"/>
    <cellStyle name="Accent5 101 3" xfId="5999" xr:uid="{00000000-0005-0000-0000-00006F170000}"/>
    <cellStyle name="Accent5 102" xfId="6000" xr:uid="{00000000-0005-0000-0000-000070170000}"/>
    <cellStyle name="Accent5 102 2" xfId="6001" xr:uid="{00000000-0005-0000-0000-000071170000}"/>
    <cellStyle name="Accent5 103" xfId="6002" xr:uid="{00000000-0005-0000-0000-000072170000}"/>
    <cellStyle name="Accent5 103 2" xfId="6003" xr:uid="{00000000-0005-0000-0000-000073170000}"/>
    <cellStyle name="Accent5 104" xfId="6004" xr:uid="{00000000-0005-0000-0000-000074170000}"/>
    <cellStyle name="Accent5 104 2" xfId="6005" xr:uid="{00000000-0005-0000-0000-000075170000}"/>
    <cellStyle name="Accent5 104 2 2" xfId="6006" xr:uid="{00000000-0005-0000-0000-000076170000}"/>
    <cellStyle name="Accent5 104 3" xfId="6007" xr:uid="{00000000-0005-0000-0000-000077170000}"/>
    <cellStyle name="Accent5 105" xfId="6008" xr:uid="{00000000-0005-0000-0000-000078170000}"/>
    <cellStyle name="Accent5 105 2" xfId="6009" xr:uid="{00000000-0005-0000-0000-000079170000}"/>
    <cellStyle name="Accent5 105 2 2" xfId="6010" xr:uid="{00000000-0005-0000-0000-00007A170000}"/>
    <cellStyle name="Accent5 105 3" xfId="6011" xr:uid="{00000000-0005-0000-0000-00007B170000}"/>
    <cellStyle name="Accent5 106" xfId="6012" xr:uid="{00000000-0005-0000-0000-00007C170000}"/>
    <cellStyle name="Accent5 106 2" xfId="6013" xr:uid="{00000000-0005-0000-0000-00007D170000}"/>
    <cellStyle name="Accent5 106 2 2" xfId="6014" xr:uid="{00000000-0005-0000-0000-00007E170000}"/>
    <cellStyle name="Accent5 106 3" xfId="6015" xr:uid="{00000000-0005-0000-0000-00007F170000}"/>
    <cellStyle name="Accent5 107" xfId="6016" xr:uid="{00000000-0005-0000-0000-000080170000}"/>
    <cellStyle name="Accent5 107 2" xfId="6017" xr:uid="{00000000-0005-0000-0000-000081170000}"/>
    <cellStyle name="Accent5 107 2 2" xfId="6018" xr:uid="{00000000-0005-0000-0000-000082170000}"/>
    <cellStyle name="Accent5 107 3" xfId="6019" xr:uid="{00000000-0005-0000-0000-000083170000}"/>
    <cellStyle name="Accent5 108" xfId="6020" xr:uid="{00000000-0005-0000-0000-000084170000}"/>
    <cellStyle name="Accent5 108 2" xfId="6021" xr:uid="{00000000-0005-0000-0000-000085170000}"/>
    <cellStyle name="Accent5 108 2 2" xfId="6022" xr:uid="{00000000-0005-0000-0000-000086170000}"/>
    <cellStyle name="Accent5 108 3" xfId="6023" xr:uid="{00000000-0005-0000-0000-000087170000}"/>
    <cellStyle name="Accent5 109" xfId="6024" xr:uid="{00000000-0005-0000-0000-000088170000}"/>
    <cellStyle name="Accent5 109 2" xfId="6025" xr:uid="{00000000-0005-0000-0000-000089170000}"/>
    <cellStyle name="Accent5 109 2 2" xfId="6026" xr:uid="{00000000-0005-0000-0000-00008A170000}"/>
    <cellStyle name="Accent5 109 3" xfId="6027" xr:uid="{00000000-0005-0000-0000-00008B170000}"/>
    <cellStyle name="Accent5 11" xfId="6028" xr:uid="{00000000-0005-0000-0000-00008C170000}"/>
    <cellStyle name="Accent5 11 2" xfId="6029" xr:uid="{00000000-0005-0000-0000-00008D170000}"/>
    <cellStyle name="Accent5 11 2 2" xfId="6030" xr:uid="{00000000-0005-0000-0000-00008E170000}"/>
    <cellStyle name="Accent5 11 3" xfId="6031" xr:uid="{00000000-0005-0000-0000-00008F170000}"/>
    <cellStyle name="Accent5 110" xfId="6032" xr:uid="{00000000-0005-0000-0000-000090170000}"/>
    <cellStyle name="Accent5 110 2" xfId="6033" xr:uid="{00000000-0005-0000-0000-000091170000}"/>
    <cellStyle name="Accent5 110 2 2" xfId="6034" xr:uid="{00000000-0005-0000-0000-000092170000}"/>
    <cellStyle name="Accent5 110 3" xfId="6035" xr:uid="{00000000-0005-0000-0000-000093170000}"/>
    <cellStyle name="Accent5 111" xfId="6036" xr:uid="{00000000-0005-0000-0000-000094170000}"/>
    <cellStyle name="Accent5 111 2" xfId="6037" xr:uid="{00000000-0005-0000-0000-000095170000}"/>
    <cellStyle name="Accent5 111 2 2" xfId="6038" xr:uid="{00000000-0005-0000-0000-000096170000}"/>
    <cellStyle name="Accent5 111 3" xfId="6039" xr:uid="{00000000-0005-0000-0000-000097170000}"/>
    <cellStyle name="Accent5 112" xfId="6040" xr:uid="{00000000-0005-0000-0000-000098170000}"/>
    <cellStyle name="Accent5 112 2" xfId="6041" xr:uid="{00000000-0005-0000-0000-000099170000}"/>
    <cellStyle name="Accent5 112 2 2" xfId="6042" xr:uid="{00000000-0005-0000-0000-00009A170000}"/>
    <cellStyle name="Accent5 112 3" xfId="6043" xr:uid="{00000000-0005-0000-0000-00009B170000}"/>
    <cellStyle name="Accent5 113" xfId="6044" xr:uid="{00000000-0005-0000-0000-00009C170000}"/>
    <cellStyle name="Accent5 113 2" xfId="6045" xr:uid="{00000000-0005-0000-0000-00009D170000}"/>
    <cellStyle name="Accent5 113 2 2" xfId="6046" xr:uid="{00000000-0005-0000-0000-00009E170000}"/>
    <cellStyle name="Accent5 113 3" xfId="6047" xr:uid="{00000000-0005-0000-0000-00009F170000}"/>
    <cellStyle name="Accent5 114" xfId="6048" xr:uid="{00000000-0005-0000-0000-0000A0170000}"/>
    <cellStyle name="Accent5 114 2" xfId="6049" xr:uid="{00000000-0005-0000-0000-0000A1170000}"/>
    <cellStyle name="Accent5 115" xfId="6050" xr:uid="{00000000-0005-0000-0000-0000A2170000}"/>
    <cellStyle name="Accent5 115 2" xfId="6051" xr:uid="{00000000-0005-0000-0000-0000A3170000}"/>
    <cellStyle name="Accent5 116" xfId="6052" xr:uid="{00000000-0005-0000-0000-0000A4170000}"/>
    <cellStyle name="Accent5 116 2" xfId="6053" xr:uid="{00000000-0005-0000-0000-0000A5170000}"/>
    <cellStyle name="Accent5 117" xfId="6054" xr:uid="{00000000-0005-0000-0000-0000A6170000}"/>
    <cellStyle name="Accent5 117 2" xfId="6055" xr:uid="{00000000-0005-0000-0000-0000A7170000}"/>
    <cellStyle name="Accent5 118" xfId="6056" xr:uid="{00000000-0005-0000-0000-0000A8170000}"/>
    <cellStyle name="Accent5 118 2" xfId="6057" xr:uid="{00000000-0005-0000-0000-0000A9170000}"/>
    <cellStyle name="Accent5 119" xfId="6058" xr:uid="{00000000-0005-0000-0000-0000AA170000}"/>
    <cellStyle name="Accent5 119 2" xfId="6059" xr:uid="{00000000-0005-0000-0000-0000AB170000}"/>
    <cellStyle name="Accent5 12" xfId="6060" xr:uid="{00000000-0005-0000-0000-0000AC170000}"/>
    <cellStyle name="Accent5 12 2" xfId="6061" xr:uid="{00000000-0005-0000-0000-0000AD170000}"/>
    <cellStyle name="Accent5 12 2 2" xfId="6062" xr:uid="{00000000-0005-0000-0000-0000AE170000}"/>
    <cellStyle name="Accent5 12 3" xfId="6063" xr:uid="{00000000-0005-0000-0000-0000AF170000}"/>
    <cellStyle name="Accent5 120" xfId="6064" xr:uid="{00000000-0005-0000-0000-0000B0170000}"/>
    <cellStyle name="Accent5 120 2" xfId="6065" xr:uid="{00000000-0005-0000-0000-0000B1170000}"/>
    <cellStyle name="Accent5 121" xfId="6066" xr:uid="{00000000-0005-0000-0000-0000B2170000}"/>
    <cellStyle name="Accent5 121 2" xfId="6067" xr:uid="{00000000-0005-0000-0000-0000B3170000}"/>
    <cellStyle name="Accent5 122" xfId="6068" xr:uid="{00000000-0005-0000-0000-0000B4170000}"/>
    <cellStyle name="Accent5 122 2" xfId="6069" xr:uid="{00000000-0005-0000-0000-0000B5170000}"/>
    <cellStyle name="Accent5 123" xfId="6070" xr:uid="{00000000-0005-0000-0000-0000B6170000}"/>
    <cellStyle name="Accent5 123 2" xfId="6071" xr:uid="{00000000-0005-0000-0000-0000B7170000}"/>
    <cellStyle name="Accent5 124" xfId="6072" xr:uid="{00000000-0005-0000-0000-0000B8170000}"/>
    <cellStyle name="Accent5 124 2" xfId="6073" xr:uid="{00000000-0005-0000-0000-0000B9170000}"/>
    <cellStyle name="Accent5 125" xfId="6074" xr:uid="{00000000-0005-0000-0000-0000BA170000}"/>
    <cellStyle name="Accent5 125 2" xfId="6075" xr:uid="{00000000-0005-0000-0000-0000BB170000}"/>
    <cellStyle name="Accent5 126" xfId="6076" xr:uid="{00000000-0005-0000-0000-0000BC170000}"/>
    <cellStyle name="Accent5 127" xfId="6077" xr:uid="{00000000-0005-0000-0000-0000BD170000}"/>
    <cellStyle name="Accent5 128" xfId="6078" xr:uid="{00000000-0005-0000-0000-0000BE170000}"/>
    <cellStyle name="Accent5 129" xfId="6079" xr:uid="{00000000-0005-0000-0000-0000BF170000}"/>
    <cellStyle name="Accent5 13" xfId="6080" xr:uid="{00000000-0005-0000-0000-0000C0170000}"/>
    <cellStyle name="Accent5 13 2" xfId="6081" xr:uid="{00000000-0005-0000-0000-0000C1170000}"/>
    <cellStyle name="Accent5 13 2 2" xfId="6082" xr:uid="{00000000-0005-0000-0000-0000C2170000}"/>
    <cellStyle name="Accent5 13 3" xfId="6083" xr:uid="{00000000-0005-0000-0000-0000C3170000}"/>
    <cellStyle name="Accent5 130" xfId="6084" xr:uid="{00000000-0005-0000-0000-0000C4170000}"/>
    <cellStyle name="Accent5 131" xfId="6085" xr:uid="{00000000-0005-0000-0000-0000C5170000}"/>
    <cellStyle name="Accent5 132" xfId="6086" xr:uid="{00000000-0005-0000-0000-0000C6170000}"/>
    <cellStyle name="Accent5 133" xfId="6087" xr:uid="{00000000-0005-0000-0000-0000C7170000}"/>
    <cellStyle name="Accent5 134" xfId="6088" xr:uid="{00000000-0005-0000-0000-0000C8170000}"/>
    <cellStyle name="Accent5 135" xfId="6089" xr:uid="{00000000-0005-0000-0000-0000C9170000}"/>
    <cellStyle name="Accent5 136" xfId="6090" xr:uid="{00000000-0005-0000-0000-0000CA170000}"/>
    <cellStyle name="Accent5 137" xfId="6091" xr:uid="{00000000-0005-0000-0000-0000CB170000}"/>
    <cellStyle name="Accent5 138" xfId="6092" xr:uid="{00000000-0005-0000-0000-0000CC170000}"/>
    <cellStyle name="Accent5 139" xfId="6093" xr:uid="{00000000-0005-0000-0000-0000CD170000}"/>
    <cellStyle name="Accent5 14" xfId="6094" xr:uid="{00000000-0005-0000-0000-0000CE170000}"/>
    <cellStyle name="Accent5 14 2" xfId="6095" xr:uid="{00000000-0005-0000-0000-0000CF170000}"/>
    <cellStyle name="Accent5 14 2 2" xfId="6096" xr:uid="{00000000-0005-0000-0000-0000D0170000}"/>
    <cellStyle name="Accent5 14 3" xfId="6097" xr:uid="{00000000-0005-0000-0000-0000D1170000}"/>
    <cellStyle name="Accent5 140" xfId="6098" xr:uid="{00000000-0005-0000-0000-0000D2170000}"/>
    <cellStyle name="Accent5 141" xfId="6099" xr:uid="{00000000-0005-0000-0000-0000D3170000}"/>
    <cellStyle name="Accent5 142" xfId="6100" xr:uid="{00000000-0005-0000-0000-0000D4170000}"/>
    <cellStyle name="Accent5 143" xfId="6101" xr:uid="{00000000-0005-0000-0000-0000D5170000}"/>
    <cellStyle name="Accent5 144" xfId="6102" xr:uid="{00000000-0005-0000-0000-0000D6170000}"/>
    <cellStyle name="Accent5 145" xfId="6103" xr:uid="{00000000-0005-0000-0000-0000D7170000}"/>
    <cellStyle name="Accent5 146" xfId="6104" xr:uid="{00000000-0005-0000-0000-0000D8170000}"/>
    <cellStyle name="Accent5 147" xfId="6105" xr:uid="{00000000-0005-0000-0000-0000D9170000}"/>
    <cellStyle name="Accent5 148" xfId="6106" xr:uid="{00000000-0005-0000-0000-0000DA170000}"/>
    <cellStyle name="Accent5 149" xfId="6107" xr:uid="{00000000-0005-0000-0000-0000DB170000}"/>
    <cellStyle name="Accent5 15" xfId="6108" xr:uid="{00000000-0005-0000-0000-0000DC170000}"/>
    <cellStyle name="Accent5 15 2" xfId="6109" xr:uid="{00000000-0005-0000-0000-0000DD170000}"/>
    <cellStyle name="Accent5 15 2 2" xfId="6110" xr:uid="{00000000-0005-0000-0000-0000DE170000}"/>
    <cellStyle name="Accent5 15 3" xfId="6111" xr:uid="{00000000-0005-0000-0000-0000DF170000}"/>
    <cellStyle name="Accent5 150" xfId="6112" xr:uid="{00000000-0005-0000-0000-0000E0170000}"/>
    <cellStyle name="Accent5 151" xfId="6113" xr:uid="{00000000-0005-0000-0000-0000E1170000}"/>
    <cellStyle name="Accent5 152" xfId="6114" xr:uid="{00000000-0005-0000-0000-0000E2170000}"/>
    <cellStyle name="Accent5 153" xfId="6115" xr:uid="{00000000-0005-0000-0000-0000E3170000}"/>
    <cellStyle name="Accent5 154" xfId="6116" xr:uid="{00000000-0005-0000-0000-0000E4170000}"/>
    <cellStyle name="Accent5 155" xfId="6117" xr:uid="{00000000-0005-0000-0000-0000E5170000}"/>
    <cellStyle name="Accent5 156" xfId="6118" xr:uid="{00000000-0005-0000-0000-0000E6170000}"/>
    <cellStyle name="Accent5 157" xfId="6119" xr:uid="{00000000-0005-0000-0000-0000E7170000}"/>
    <cellStyle name="Accent5 158" xfId="6120" xr:uid="{00000000-0005-0000-0000-0000E8170000}"/>
    <cellStyle name="Accent5 159" xfId="6121" xr:uid="{00000000-0005-0000-0000-0000E9170000}"/>
    <cellStyle name="Accent5 16" xfId="6122" xr:uid="{00000000-0005-0000-0000-0000EA170000}"/>
    <cellStyle name="Accent5 16 2" xfId="6123" xr:uid="{00000000-0005-0000-0000-0000EB170000}"/>
    <cellStyle name="Accent5 16 2 2" xfId="6124" xr:uid="{00000000-0005-0000-0000-0000EC170000}"/>
    <cellStyle name="Accent5 16 3" xfId="6125" xr:uid="{00000000-0005-0000-0000-0000ED170000}"/>
    <cellStyle name="Accent5 160" xfId="6126" xr:uid="{00000000-0005-0000-0000-0000EE170000}"/>
    <cellStyle name="Accent5 161" xfId="6127" xr:uid="{00000000-0005-0000-0000-0000EF170000}"/>
    <cellStyle name="Accent5 162" xfId="6128" xr:uid="{00000000-0005-0000-0000-0000F0170000}"/>
    <cellStyle name="Accent5 163" xfId="6129" xr:uid="{00000000-0005-0000-0000-0000F1170000}"/>
    <cellStyle name="Accent5 164" xfId="6130" xr:uid="{00000000-0005-0000-0000-0000F2170000}"/>
    <cellStyle name="Accent5 165" xfId="6131" xr:uid="{00000000-0005-0000-0000-0000F3170000}"/>
    <cellStyle name="Accent5 166" xfId="6132" xr:uid="{00000000-0005-0000-0000-0000F4170000}"/>
    <cellStyle name="Accent5 167" xfId="6133" xr:uid="{00000000-0005-0000-0000-0000F5170000}"/>
    <cellStyle name="Accent5 168" xfId="6134" xr:uid="{00000000-0005-0000-0000-0000F6170000}"/>
    <cellStyle name="Accent5 169" xfId="6135" xr:uid="{00000000-0005-0000-0000-0000F7170000}"/>
    <cellStyle name="Accent5 17" xfId="6136" xr:uid="{00000000-0005-0000-0000-0000F8170000}"/>
    <cellStyle name="Accent5 17 2" xfId="6137" xr:uid="{00000000-0005-0000-0000-0000F9170000}"/>
    <cellStyle name="Accent5 17 2 2" xfId="6138" xr:uid="{00000000-0005-0000-0000-0000FA170000}"/>
    <cellStyle name="Accent5 17 3" xfId="6139" xr:uid="{00000000-0005-0000-0000-0000FB170000}"/>
    <cellStyle name="Accent5 170" xfId="6140" xr:uid="{00000000-0005-0000-0000-0000FC170000}"/>
    <cellStyle name="Accent5 171" xfId="6141" xr:uid="{00000000-0005-0000-0000-0000FD170000}"/>
    <cellStyle name="Accent5 172" xfId="6142" xr:uid="{00000000-0005-0000-0000-0000FE170000}"/>
    <cellStyle name="Accent5 173" xfId="6143" xr:uid="{00000000-0005-0000-0000-0000FF170000}"/>
    <cellStyle name="Accent5 174" xfId="6144" xr:uid="{00000000-0005-0000-0000-000000180000}"/>
    <cellStyle name="Accent5 175" xfId="6145" xr:uid="{00000000-0005-0000-0000-000001180000}"/>
    <cellStyle name="Accent5 176" xfId="6146" xr:uid="{00000000-0005-0000-0000-000002180000}"/>
    <cellStyle name="Accent5 177" xfId="6147" xr:uid="{00000000-0005-0000-0000-000003180000}"/>
    <cellStyle name="Accent5 178" xfId="6148" xr:uid="{00000000-0005-0000-0000-000004180000}"/>
    <cellStyle name="Accent5 179" xfId="6149" xr:uid="{00000000-0005-0000-0000-000005180000}"/>
    <cellStyle name="Accent5 18" xfId="6150" xr:uid="{00000000-0005-0000-0000-000006180000}"/>
    <cellStyle name="Accent5 18 2" xfId="6151" xr:uid="{00000000-0005-0000-0000-000007180000}"/>
    <cellStyle name="Accent5 18 2 2" xfId="6152" xr:uid="{00000000-0005-0000-0000-000008180000}"/>
    <cellStyle name="Accent5 18 3" xfId="6153" xr:uid="{00000000-0005-0000-0000-000009180000}"/>
    <cellStyle name="Accent5 19" xfId="6154" xr:uid="{00000000-0005-0000-0000-00000A180000}"/>
    <cellStyle name="Accent5 19 2" xfId="6155" xr:uid="{00000000-0005-0000-0000-00000B180000}"/>
    <cellStyle name="Accent5 19 2 2" xfId="6156" xr:uid="{00000000-0005-0000-0000-00000C180000}"/>
    <cellStyle name="Accent5 19 3" xfId="6157" xr:uid="{00000000-0005-0000-0000-00000D180000}"/>
    <cellStyle name="Accent5 2" xfId="6158" xr:uid="{00000000-0005-0000-0000-00000E180000}"/>
    <cellStyle name="Accent5 2 10" xfId="6159" xr:uid="{00000000-0005-0000-0000-00000F180000}"/>
    <cellStyle name="Accent5 2 10 2" xfId="6160" xr:uid="{00000000-0005-0000-0000-000010180000}"/>
    <cellStyle name="Accent5 2 11" xfId="6161" xr:uid="{00000000-0005-0000-0000-000011180000}"/>
    <cellStyle name="Accent5 2 12" xfId="6162" xr:uid="{00000000-0005-0000-0000-000012180000}"/>
    <cellStyle name="Accent5 2 2" xfId="6163" xr:uid="{00000000-0005-0000-0000-000013180000}"/>
    <cellStyle name="Accent5 2 2 2" xfId="6164" xr:uid="{00000000-0005-0000-0000-000014180000}"/>
    <cellStyle name="Accent5 2 2 2 2" xfId="6165" xr:uid="{00000000-0005-0000-0000-000015180000}"/>
    <cellStyle name="Accent5 2 2 3" xfId="6166" xr:uid="{00000000-0005-0000-0000-000016180000}"/>
    <cellStyle name="Accent5 2 2 3 2" xfId="6167" xr:uid="{00000000-0005-0000-0000-000017180000}"/>
    <cellStyle name="Accent5 2 2 3 2 2" xfId="6168" xr:uid="{00000000-0005-0000-0000-000018180000}"/>
    <cellStyle name="Accent5 2 2 3 3" xfId="6169" xr:uid="{00000000-0005-0000-0000-000019180000}"/>
    <cellStyle name="Accent5 2 2 4" xfId="6170" xr:uid="{00000000-0005-0000-0000-00001A180000}"/>
    <cellStyle name="Accent5 2 2 4 2" xfId="6171" xr:uid="{00000000-0005-0000-0000-00001B180000}"/>
    <cellStyle name="Accent5 2 2 5" xfId="6172" xr:uid="{00000000-0005-0000-0000-00001C180000}"/>
    <cellStyle name="Accent5 2 3" xfId="6173" xr:uid="{00000000-0005-0000-0000-00001D180000}"/>
    <cellStyle name="Accent5 2 3 2" xfId="6174" xr:uid="{00000000-0005-0000-0000-00001E180000}"/>
    <cellStyle name="Accent5 2 3 2 2" xfId="6175" xr:uid="{00000000-0005-0000-0000-00001F180000}"/>
    <cellStyle name="Accent5 2 3 3" xfId="6176" xr:uid="{00000000-0005-0000-0000-000020180000}"/>
    <cellStyle name="Accent5 2 3 3 2" xfId="6177" xr:uid="{00000000-0005-0000-0000-000021180000}"/>
    <cellStyle name="Accent5 2 3 3 2 2" xfId="6178" xr:uid="{00000000-0005-0000-0000-000022180000}"/>
    <cellStyle name="Accent5 2 3 3 3" xfId="6179" xr:uid="{00000000-0005-0000-0000-000023180000}"/>
    <cellStyle name="Accent5 2 3 4" xfId="6180" xr:uid="{00000000-0005-0000-0000-000024180000}"/>
    <cellStyle name="Accent5 2 4" xfId="6181" xr:uid="{00000000-0005-0000-0000-000025180000}"/>
    <cellStyle name="Accent5 2 4 2" xfId="6182" xr:uid="{00000000-0005-0000-0000-000026180000}"/>
    <cellStyle name="Accent5 2 4 2 2" xfId="6183" xr:uid="{00000000-0005-0000-0000-000027180000}"/>
    <cellStyle name="Accent5 2 4 3" xfId="6184" xr:uid="{00000000-0005-0000-0000-000028180000}"/>
    <cellStyle name="Accent5 2 5" xfId="6185" xr:uid="{00000000-0005-0000-0000-000029180000}"/>
    <cellStyle name="Accent5 2 5 2" xfId="6186" xr:uid="{00000000-0005-0000-0000-00002A180000}"/>
    <cellStyle name="Accent5 2 5 2 2" xfId="6187" xr:uid="{00000000-0005-0000-0000-00002B180000}"/>
    <cellStyle name="Accent5 2 5 3" xfId="6188" xr:uid="{00000000-0005-0000-0000-00002C180000}"/>
    <cellStyle name="Accent5 2 5 3 2" xfId="6189" xr:uid="{00000000-0005-0000-0000-00002D180000}"/>
    <cellStyle name="Accent5 2 5 3 2 2" xfId="6190" xr:uid="{00000000-0005-0000-0000-00002E180000}"/>
    <cellStyle name="Accent5 2 5 3 3" xfId="6191" xr:uid="{00000000-0005-0000-0000-00002F180000}"/>
    <cellStyle name="Accent5 2 5 4" xfId="6192" xr:uid="{00000000-0005-0000-0000-000030180000}"/>
    <cellStyle name="Accent5 2 6" xfId="6193" xr:uid="{00000000-0005-0000-0000-000031180000}"/>
    <cellStyle name="Accent5 2 6 2" xfId="6194" xr:uid="{00000000-0005-0000-0000-000032180000}"/>
    <cellStyle name="Accent5 2 6 2 2" xfId="6195" xr:uid="{00000000-0005-0000-0000-000033180000}"/>
    <cellStyle name="Accent5 2 6 3" xfId="6196" xr:uid="{00000000-0005-0000-0000-000034180000}"/>
    <cellStyle name="Accent5 2 6 3 2" xfId="6197" xr:uid="{00000000-0005-0000-0000-000035180000}"/>
    <cellStyle name="Accent5 2 6 4" xfId="6198" xr:uid="{00000000-0005-0000-0000-000036180000}"/>
    <cellStyle name="Accent5 2 7" xfId="6199" xr:uid="{00000000-0005-0000-0000-000037180000}"/>
    <cellStyle name="Accent5 2 7 2" xfId="6200" xr:uid="{00000000-0005-0000-0000-000038180000}"/>
    <cellStyle name="Accent5 2 8" xfId="6201" xr:uid="{00000000-0005-0000-0000-000039180000}"/>
    <cellStyle name="Accent5 2 8 2" xfId="6202" xr:uid="{00000000-0005-0000-0000-00003A180000}"/>
    <cellStyle name="Accent5 2 8 2 2" xfId="6203" xr:uid="{00000000-0005-0000-0000-00003B180000}"/>
    <cellStyle name="Accent5 2 8 3" xfId="6204" xr:uid="{00000000-0005-0000-0000-00003C180000}"/>
    <cellStyle name="Accent5 2 9" xfId="6205" xr:uid="{00000000-0005-0000-0000-00003D180000}"/>
    <cellStyle name="Accent5 2 9 2" xfId="6206" xr:uid="{00000000-0005-0000-0000-00003E180000}"/>
    <cellStyle name="Accent5 2 9 2 2" xfId="6207" xr:uid="{00000000-0005-0000-0000-00003F180000}"/>
    <cellStyle name="Accent5 2 9 3" xfId="6208" xr:uid="{00000000-0005-0000-0000-000040180000}"/>
    <cellStyle name="Accent5 20" xfId="6209" xr:uid="{00000000-0005-0000-0000-000041180000}"/>
    <cellStyle name="Accent5 20 2" xfId="6210" xr:uid="{00000000-0005-0000-0000-000042180000}"/>
    <cellStyle name="Accent5 20 2 2" xfId="6211" xr:uid="{00000000-0005-0000-0000-000043180000}"/>
    <cellStyle name="Accent5 20 3" xfId="6212" xr:uid="{00000000-0005-0000-0000-000044180000}"/>
    <cellStyle name="Accent5 21" xfId="6213" xr:uid="{00000000-0005-0000-0000-000045180000}"/>
    <cellStyle name="Accent5 21 2" xfId="6214" xr:uid="{00000000-0005-0000-0000-000046180000}"/>
    <cellStyle name="Accent5 21 2 2" xfId="6215" xr:uid="{00000000-0005-0000-0000-000047180000}"/>
    <cellStyle name="Accent5 21 3" xfId="6216" xr:uid="{00000000-0005-0000-0000-000048180000}"/>
    <cellStyle name="Accent5 22" xfId="6217" xr:uid="{00000000-0005-0000-0000-000049180000}"/>
    <cellStyle name="Accent5 22 2" xfId="6218" xr:uid="{00000000-0005-0000-0000-00004A180000}"/>
    <cellStyle name="Accent5 22 2 2" xfId="6219" xr:uid="{00000000-0005-0000-0000-00004B180000}"/>
    <cellStyle name="Accent5 22 3" xfId="6220" xr:uid="{00000000-0005-0000-0000-00004C180000}"/>
    <cellStyle name="Accent5 23" xfId="6221" xr:uid="{00000000-0005-0000-0000-00004D180000}"/>
    <cellStyle name="Accent5 23 2" xfId="6222" xr:uid="{00000000-0005-0000-0000-00004E180000}"/>
    <cellStyle name="Accent5 23 2 2" xfId="6223" xr:uid="{00000000-0005-0000-0000-00004F180000}"/>
    <cellStyle name="Accent5 23 3" xfId="6224" xr:uid="{00000000-0005-0000-0000-000050180000}"/>
    <cellStyle name="Accent5 24" xfId="6225" xr:uid="{00000000-0005-0000-0000-000051180000}"/>
    <cellStyle name="Accent5 24 2" xfId="6226" xr:uid="{00000000-0005-0000-0000-000052180000}"/>
    <cellStyle name="Accent5 24 2 2" xfId="6227" xr:uid="{00000000-0005-0000-0000-000053180000}"/>
    <cellStyle name="Accent5 24 3" xfId="6228" xr:uid="{00000000-0005-0000-0000-000054180000}"/>
    <cellStyle name="Accent5 25" xfId="6229" xr:uid="{00000000-0005-0000-0000-000055180000}"/>
    <cellStyle name="Accent5 25 2" xfId="6230" xr:uid="{00000000-0005-0000-0000-000056180000}"/>
    <cellStyle name="Accent5 25 2 2" xfId="6231" xr:uid="{00000000-0005-0000-0000-000057180000}"/>
    <cellStyle name="Accent5 25 3" xfId="6232" xr:uid="{00000000-0005-0000-0000-000058180000}"/>
    <cellStyle name="Accent5 26" xfId="6233" xr:uid="{00000000-0005-0000-0000-000059180000}"/>
    <cellStyle name="Accent5 26 2" xfId="6234" xr:uid="{00000000-0005-0000-0000-00005A180000}"/>
    <cellStyle name="Accent5 26 2 2" xfId="6235" xr:uid="{00000000-0005-0000-0000-00005B180000}"/>
    <cellStyle name="Accent5 26 3" xfId="6236" xr:uid="{00000000-0005-0000-0000-00005C180000}"/>
    <cellStyle name="Accent5 27" xfId="6237" xr:uid="{00000000-0005-0000-0000-00005D180000}"/>
    <cellStyle name="Accent5 27 2" xfId="6238" xr:uid="{00000000-0005-0000-0000-00005E180000}"/>
    <cellStyle name="Accent5 27 2 2" xfId="6239" xr:uid="{00000000-0005-0000-0000-00005F180000}"/>
    <cellStyle name="Accent5 27 3" xfId="6240" xr:uid="{00000000-0005-0000-0000-000060180000}"/>
    <cellStyle name="Accent5 28" xfId="6241" xr:uid="{00000000-0005-0000-0000-000061180000}"/>
    <cellStyle name="Accent5 28 2" xfId="6242" xr:uid="{00000000-0005-0000-0000-000062180000}"/>
    <cellStyle name="Accent5 28 2 2" xfId="6243" xr:uid="{00000000-0005-0000-0000-000063180000}"/>
    <cellStyle name="Accent5 28 3" xfId="6244" xr:uid="{00000000-0005-0000-0000-000064180000}"/>
    <cellStyle name="Accent5 29" xfId="6245" xr:uid="{00000000-0005-0000-0000-000065180000}"/>
    <cellStyle name="Accent5 29 2" xfId="6246" xr:uid="{00000000-0005-0000-0000-000066180000}"/>
    <cellStyle name="Accent5 29 2 2" xfId="6247" xr:uid="{00000000-0005-0000-0000-000067180000}"/>
    <cellStyle name="Accent5 29 3" xfId="6248" xr:uid="{00000000-0005-0000-0000-000068180000}"/>
    <cellStyle name="Accent5 3" xfId="6249" xr:uid="{00000000-0005-0000-0000-000069180000}"/>
    <cellStyle name="Accent5 3 10" xfId="6250" xr:uid="{00000000-0005-0000-0000-00006A180000}"/>
    <cellStyle name="Accent5 3 10 2" xfId="6251" xr:uid="{00000000-0005-0000-0000-00006B180000}"/>
    <cellStyle name="Accent5 3 10 2 2" xfId="6252" xr:uid="{00000000-0005-0000-0000-00006C180000}"/>
    <cellStyle name="Accent5 3 10 3" xfId="6253" xr:uid="{00000000-0005-0000-0000-00006D180000}"/>
    <cellStyle name="Accent5 3 11" xfId="6254" xr:uid="{00000000-0005-0000-0000-00006E180000}"/>
    <cellStyle name="Accent5 3 11 2" xfId="6255" xr:uid="{00000000-0005-0000-0000-00006F180000}"/>
    <cellStyle name="Accent5 3 12" xfId="6256" xr:uid="{00000000-0005-0000-0000-000070180000}"/>
    <cellStyle name="Accent5 3 2" xfId="6257" xr:uid="{00000000-0005-0000-0000-000071180000}"/>
    <cellStyle name="Accent5 3 2 2" xfId="6258" xr:uid="{00000000-0005-0000-0000-000072180000}"/>
    <cellStyle name="Accent5 3 2 2 2" xfId="6259" xr:uid="{00000000-0005-0000-0000-000073180000}"/>
    <cellStyle name="Accent5 3 2 3" xfId="6260" xr:uid="{00000000-0005-0000-0000-000074180000}"/>
    <cellStyle name="Accent5 3 2 3 2" xfId="6261" xr:uid="{00000000-0005-0000-0000-000075180000}"/>
    <cellStyle name="Accent5 3 2 3 2 2" xfId="6262" xr:uid="{00000000-0005-0000-0000-000076180000}"/>
    <cellStyle name="Accent5 3 2 3 3" xfId="6263" xr:uid="{00000000-0005-0000-0000-000077180000}"/>
    <cellStyle name="Accent5 3 2 4" xfId="6264" xr:uid="{00000000-0005-0000-0000-000078180000}"/>
    <cellStyle name="Accent5 3 3" xfId="6265" xr:uid="{00000000-0005-0000-0000-000079180000}"/>
    <cellStyle name="Accent5 3 3 2" xfId="6266" xr:uid="{00000000-0005-0000-0000-00007A180000}"/>
    <cellStyle name="Accent5 3 3 2 2" xfId="6267" xr:uid="{00000000-0005-0000-0000-00007B180000}"/>
    <cellStyle name="Accent5 3 3 3" xfId="6268" xr:uid="{00000000-0005-0000-0000-00007C180000}"/>
    <cellStyle name="Accent5 3 3 3 2" xfId="6269" xr:uid="{00000000-0005-0000-0000-00007D180000}"/>
    <cellStyle name="Accent5 3 3 3 2 2" xfId="6270" xr:uid="{00000000-0005-0000-0000-00007E180000}"/>
    <cellStyle name="Accent5 3 3 3 3" xfId="6271" xr:uid="{00000000-0005-0000-0000-00007F180000}"/>
    <cellStyle name="Accent5 3 3 4" xfId="6272" xr:uid="{00000000-0005-0000-0000-000080180000}"/>
    <cellStyle name="Accent5 3 4" xfId="6273" xr:uid="{00000000-0005-0000-0000-000081180000}"/>
    <cellStyle name="Accent5 3 4 2" xfId="6274" xr:uid="{00000000-0005-0000-0000-000082180000}"/>
    <cellStyle name="Accent5 3 4 2 2" xfId="6275" xr:uid="{00000000-0005-0000-0000-000083180000}"/>
    <cellStyle name="Accent5 3 4 3" xfId="6276" xr:uid="{00000000-0005-0000-0000-000084180000}"/>
    <cellStyle name="Accent5 3 5" xfId="6277" xr:uid="{00000000-0005-0000-0000-000085180000}"/>
    <cellStyle name="Accent5 3 5 2" xfId="6278" xr:uid="{00000000-0005-0000-0000-000086180000}"/>
    <cellStyle name="Accent5 3 5 2 2" xfId="6279" xr:uid="{00000000-0005-0000-0000-000087180000}"/>
    <cellStyle name="Accent5 3 5 3" xfId="6280" xr:uid="{00000000-0005-0000-0000-000088180000}"/>
    <cellStyle name="Accent5 3 5 3 2" xfId="6281" xr:uid="{00000000-0005-0000-0000-000089180000}"/>
    <cellStyle name="Accent5 3 5 3 2 2" xfId="6282" xr:uid="{00000000-0005-0000-0000-00008A180000}"/>
    <cellStyle name="Accent5 3 5 3 3" xfId="6283" xr:uid="{00000000-0005-0000-0000-00008B180000}"/>
    <cellStyle name="Accent5 3 5 4" xfId="6284" xr:uid="{00000000-0005-0000-0000-00008C180000}"/>
    <cellStyle name="Accent5 3 6" xfId="6285" xr:uid="{00000000-0005-0000-0000-00008D180000}"/>
    <cellStyle name="Accent5 3 6 2" xfId="6286" xr:uid="{00000000-0005-0000-0000-00008E180000}"/>
    <cellStyle name="Accent5 3 7" xfId="6287" xr:uid="{00000000-0005-0000-0000-00008F180000}"/>
    <cellStyle name="Accent5 3 7 2" xfId="6288" xr:uid="{00000000-0005-0000-0000-000090180000}"/>
    <cellStyle name="Accent5 3 8" xfId="6289" xr:uid="{00000000-0005-0000-0000-000091180000}"/>
    <cellStyle name="Accent5 3 8 2" xfId="6290" xr:uid="{00000000-0005-0000-0000-000092180000}"/>
    <cellStyle name="Accent5 3 8 2 2" xfId="6291" xr:uid="{00000000-0005-0000-0000-000093180000}"/>
    <cellStyle name="Accent5 3 8 3" xfId="6292" xr:uid="{00000000-0005-0000-0000-000094180000}"/>
    <cellStyle name="Accent5 3 9" xfId="6293" xr:uid="{00000000-0005-0000-0000-000095180000}"/>
    <cellStyle name="Accent5 3 9 2" xfId="6294" xr:uid="{00000000-0005-0000-0000-000096180000}"/>
    <cellStyle name="Accent5 3 9 2 2" xfId="6295" xr:uid="{00000000-0005-0000-0000-000097180000}"/>
    <cellStyle name="Accent5 3 9 3" xfId="6296" xr:uid="{00000000-0005-0000-0000-000098180000}"/>
    <cellStyle name="Accent5 30" xfId="6297" xr:uid="{00000000-0005-0000-0000-000099180000}"/>
    <cellStyle name="Accent5 30 2" xfId="6298" xr:uid="{00000000-0005-0000-0000-00009A180000}"/>
    <cellStyle name="Accent5 30 2 2" xfId="6299" xr:uid="{00000000-0005-0000-0000-00009B180000}"/>
    <cellStyle name="Accent5 30 3" xfId="6300" xr:uid="{00000000-0005-0000-0000-00009C180000}"/>
    <cellStyle name="Accent5 31" xfId="6301" xr:uid="{00000000-0005-0000-0000-00009D180000}"/>
    <cellStyle name="Accent5 31 2" xfId="6302" xr:uid="{00000000-0005-0000-0000-00009E180000}"/>
    <cellStyle name="Accent5 31 2 2" xfId="6303" xr:uid="{00000000-0005-0000-0000-00009F180000}"/>
    <cellStyle name="Accent5 31 3" xfId="6304" xr:uid="{00000000-0005-0000-0000-0000A0180000}"/>
    <cellStyle name="Accent5 32" xfId="6305" xr:uid="{00000000-0005-0000-0000-0000A1180000}"/>
    <cellStyle name="Accent5 32 2" xfId="6306" xr:uid="{00000000-0005-0000-0000-0000A2180000}"/>
    <cellStyle name="Accent5 32 2 2" xfId="6307" xr:uid="{00000000-0005-0000-0000-0000A3180000}"/>
    <cellStyle name="Accent5 32 3" xfId="6308" xr:uid="{00000000-0005-0000-0000-0000A4180000}"/>
    <cellStyle name="Accent5 33" xfId="6309" xr:uid="{00000000-0005-0000-0000-0000A5180000}"/>
    <cellStyle name="Accent5 33 2" xfId="6310" xr:uid="{00000000-0005-0000-0000-0000A6180000}"/>
    <cellStyle name="Accent5 33 2 2" xfId="6311" xr:uid="{00000000-0005-0000-0000-0000A7180000}"/>
    <cellStyle name="Accent5 33 3" xfId="6312" xr:uid="{00000000-0005-0000-0000-0000A8180000}"/>
    <cellStyle name="Accent5 34" xfId="6313" xr:uid="{00000000-0005-0000-0000-0000A9180000}"/>
    <cellStyle name="Accent5 34 2" xfId="6314" xr:uid="{00000000-0005-0000-0000-0000AA180000}"/>
    <cellStyle name="Accent5 34 2 2" xfId="6315" xr:uid="{00000000-0005-0000-0000-0000AB180000}"/>
    <cellStyle name="Accent5 34 3" xfId="6316" xr:uid="{00000000-0005-0000-0000-0000AC180000}"/>
    <cellStyle name="Accent5 35" xfId="6317" xr:uid="{00000000-0005-0000-0000-0000AD180000}"/>
    <cellStyle name="Accent5 35 2" xfId="6318" xr:uid="{00000000-0005-0000-0000-0000AE180000}"/>
    <cellStyle name="Accent5 35 2 2" xfId="6319" xr:uid="{00000000-0005-0000-0000-0000AF180000}"/>
    <cellStyle name="Accent5 35 3" xfId="6320" xr:uid="{00000000-0005-0000-0000-0000B0180000}"/>
    <cellStyle name="Accent5 36" xfId="6321" xr:uid="{00000000-0005-0000-0000-0000B1180000}"/>
    <cellStyle name="Accent5 36 2" xfId="6322" xr:uid="{00000000-0005-0000-0000-0000B2180000}"/>
    <cellStyle name="Accent5 36 2 2" xfId="6323" xr:uid="{00000000-0005-0000-0000-0000B3180000}"/>
    <cellStyle name="Accent5 36 3" xfId="6324" xr:uid="{00000000-0005-0000-0000-0000B4180000}"/>
    <cellStyle name="Accent5 37" xfId="6325" xr:uid="{00000000-0005-0000-0000-0000B5180000}"/>
    <cellStyle name="Accent5 37 2" xfId="6326" xr:uid="{00000000-0005-0000-0000-0000B6180000}"/>
    <cellStyle name="Accent5 37 2 2" xfId="6327" xr:uid="{00000000-0005-0000-0000-0000B7180000}"/>
    <cellStyle name="Accent5 37 3" xfId="6328" xr:uid="{00000000-0005-0000-0000-0000B8180000}"/>
    <cellStyle name="Accent5 38" xfId="6329" xr:uid="{00000000-0005-0000-0000-0000B9180000}"/>
    <cellStyle name="Accent5 38 2" xfId="6330" xr:uid="{00000000-0005-0000-0000-0000BA180000}"/>
    <cellStyle name="Accent5 38 2 2" xfId="6331" xr:uid="{00000000-0005-0000-0000-0000BB180000}"/>
    <cellStyle name="Accent5 38 3" xfId="6332" xr:uid="{00000000-0005-0000-0000-0000BC180000}"/>
    <cellStyle name="Accent5 39" xfId="6333" xr:uid="{00000000-0005-0000-0000-0000BD180000}"/>
    <cellStyle name="Accent5 39 2" xfId="6334" xr:uid="{00000000-0005-0000-0000-0000BE180000}"/>
    <cellStyle name="Accent5 39 2 2" xfId="6335" xr:uid="{00000000-0005-0000-0000-0000BF180000}"/>
    <cellStyle name="Accent5 39 3" xfId="6336" xr:uid="{00000000-0005-0000-0000-0000C0180000}"/>
    <cellStyle name="Accent5 4" xfId="6337" xr:uid="{00000000-0005-0000-0000-0000C1180000}"/>
    <cellStyle name="Accent5 4 2" xfId="6338" xr:uid="{00000000-0005-0000-0000-0000C2180000}"/>
    <cellStyle name="Accent5 4 2 2" xfId="6339" xr:uid="{00000000-0005-0000-0000-0000C3180000}"/>
    <cellStyle name="Accent5 4 2 2 2" xfId="6340" xr:uid="{00000000-0005-0000-0000-0000C4180000}"/>
    <cellStyle name="Accent5 4 2 3" xfId="6341" xr:uid="{00000000-0005-0000-0000-0000C5180000}"/>
    <cellStyle name="Accent5 4 2 3 2" xfId="6342" xr:uid="{00000000-0005-0000-0000-0000C6180000}"/>
    <cellStyle name="Accent5 4 2 3 2 2" xfId="6343" xr:uid="{00000000-0005-0000-0000-0000C7180000}"/>
    <cellStyle name="Accent5 4 2 3 3" xfId="6344" xr:uid="{00000000-0005-0000-0000-0000C8180000}"/>
    <cellStyle name="Accent5 4 2 4" xfId="6345" xr:uid="{00000000-0005-0000-0000-0000C9180000}"/>
    <cellStyle name="Accent5 4 3" xfId="6346" xr:uid="{00000000-0005-0000-0000-0000CA180000}"/>
    <cellStyle name="Accent5 4 3 2" xfId="6347" xr:uid="{00000000-0005-0000-0000-0000CB180000}"/>
    <cellStyle name="Accent5 4 3 2 2" xfId="6348" xr:uid="{00000000-0005-0000-0000-0000CC180000}"/>
    <cellStyle name="Accent5 4 3 3" xfId="6349" xr:uid="{00000000-0005-0000-0000-0000CD180000}"/>
    <cellStyle name="Accent5 4 3 3 2" xfId="6350" xr:uid="{00000000-0005-0000-0000-0000CE180000}"/>
    <cellStyle name="Accent5 4 3 3 2 2" xfId="6351" xr:uid="{00000000-0005-0000-0000-0000CF180000}"/>
    <cellStyle name="Accent5 4 3 3 3" xfId="6352" xr:uid="{00000000-0005-0000-0000-0000D0180000}"/>
    <cellStyle name="Accent5 4 3 4" xfId="6353" xr:uid="{00000000-0005-0000-0000-0000D1180000}"/>
    <cellStyle name="Accent5 4 4" xfId="6354" xr:uid="{00000000-0005-0000-0000-0000D2180000}"/>
    <cellStyle name="Accent5 4 4 2" xfId="6355" xr:uid="{00000000-0005-0000-0000-0000D3180000}"/>
    <cellStyle name="Accent5 4 4 2 2" xfId="6356" xr:uid="{00000000-0005-0000-0000-0000D4180000}"/>
    <cellStyle name="Accent5 4 4 3" xfId="6357" xr:uid="{00000000-0005-0000-0000-0000D5180000}"/>
    <cellStyle name="Accent5 4 5" xfId="6358" xr:uid="{00000000-0005-0000-0000-0000D6180000}"/>
    <cellStyle name="Accent5 4 5 2" xfId="6359" xr:uid="{00000000-0005-0000-0000-0000D7180000}"/>
    <cellStyle name="Accent5 4 6" xfId="6360" xr:uid="{00000000-0005-0000-0000-0000D8180000}"/>
    <cellStyle name="Accent5 4 6 2" xfId="6361" xr:uid="{00000000-0005-0000-0000-0000D9180000}"/>
    <cellStyle name="Accent5 4 6 2 2" xfId="6362" xr:uid="{00000000-0005-0000-0000-0000DA180000}"/>
    <cellStyle name="Accent5 4 6 3" xfId="6363" xr:uid="{00000000-0005-0000-0000-0000DB180000}"/>
    <cellStyle name="Accent5 4 7" xfId="6364" xr:uid="{00000000-0005-0000-0000-0000DC180000}"/>
    <cellStyle name="Accent5 4 7 2" xfId="6365" xr:uid="{00000000-0005-0000-0000-0000DD180000}"/>
    <cellStyle name="Accent5 4 7 2 2" xfId="6366" xr:uid="{00000000-0005-0000-0000-0000DE180000}"/>
    <cellStyle name="Accent5 4 7 3" xfId="6367" xr:uid="{00000000-0005-0000-0000-0000DF180000}"/>
    <cellStyle name="Accent5 4 8" xfId="6368" xr:uid="{00000000-0005-0000-0000-0000E0180000}"/>
    <cellStyle name="Accent5 40" xfId="6369" xr:uid="{00000000-0005-0000-0000-0000E1180000}"/>
    <cellStyle name="Accent5 40 2" xfId="6370" xr:uid="{00000000-0005-0000-0000-0000E2180000}"/>
    <cellStyle name="Accent5 40 2 2" xfId="6371" xr:uid="{00000000-0005-0000-0000-0000E3180000}"/>
    <cellStyle name="Accent5 40 3" xfId="6372" xr:uid="{00000000-0005-0000-0000-0000E4180000}"/>
    <cellStyle name="Accent5 41" xfId="6373" xr:uid="{00000000-0005-0000-0000-0000E5180000}"/>
    <cellStyle name="Accent5 41 2" xfId="6374" xr:uid="{00000000-0005-0000-0000-0000E6180000}"/>
    <cellStyle name="Accent5 41 2 2" xfId="6375" xr:uid="{00000000-0005-0000-0000-0000E7180000}"/>
    <cellStyle name="Accent5 41 3" xfId="6376" xr:uid="{00000000-0005-0000-0000-0000E8180000}"/>
    <cellStyle name="Accent5 42" xfId="6377" xr:uid="{00000000-0005-0000-0000-0000E9180000}"/>
    <cellStyle name="Accent5 42 2" xfId="6378" xr:uid="{00000000-0005-0000-0000-0000EA180000}"/>
    <cellStyle name="Accent5 42 2 2" xfId="6379" xr:uid="{00000000-0005-0000-0000-0000EB180000}"/>
    <cellStyle name="Accent5 42 3" xfId="6380" xr:uid="{00000000-0005-0000-0000-0000EC180000}"/>
    <cellStyle name="Accent5 43" xfId="6381" xr:uid="{00000000-0005-0000-0000-0000ED180000}"/>
    <cellStyle name="Accent5 43 2" xfId="6382" xr:uid="{00000000-0005-0000-0000-0000EE180000}"/>
    <cellStyle name="Accent5 43 2 2" xfId="6383" xr:uid="{00000000-0005-0000-0000-0000EF180000}"/>
    <cellStyle name="Accent5 43 3" xfId="6384" xr:uid="{00000000-0005-0000-0000-0000F0180000}"/>
    <cellStyle name="Accent5 44" xfId="6385" xr:uid="{00000000-0005-0000-0000-0000F1180000}"/>
    <cellStyle name="Accent5 44 2" xfId="6386" xr:uid="{00000000-0005-0000-0000-0000F2180000}"/>
    <cellStyle name="Accent5 44 2 2" xfId="6387" xr:uid="{00000000-0005-0000-0000-0000F3180000}"/>
    <cellStyle name="Accent5 44 3" xfId="6388" xr:uid="{00000000-0005-0000-0000-0000F4180000}"/>
    <cellStyle name="Accent5 45" xfId="6389" xr:uid="{00000000-0005-0000-0000-0000F5180000}"/>
    <cellStyle name="Accent5 45 2" xfId="6390" xr:uid="{00000000-0005-0000-0000-0000F6180000}"/>
    <cellStyle name="Accent5 45 2 2" xfId="6391" xr:uid="{00000000-0005-0000-0000-0000F7180000}"/>
    <cellStyle name="Accent5 45 3" xfId="6392" xr:uid="{00000000-0005-0000-0000-0000F8180000}"/>
    <cellStyle name="Accent5 46" xfId="6393" xr:uid="{00000000-0005-0000-0000-0000F9180000}"/>
    <cellStyle name="Accent5 46 2" xfId="6394" xr:uid="{00000000-0005-0000-0000-0000FA180000}"/>
    <cellStyle name="Accent5 46 2 2" xfId="6395" xr:uid="{00000000-0005-0000-0000-0000FB180000}"/>
    <cellStyle name="Accent5 46 3" xfId="6396" xr:uid="{00000000-0005-0000-0000-0000FC180000}"/>
    <cellStyle name="Accent5 47" xfId="6397" xr:uid="{00000000-0005-0000-0000-0000FD180000}"/>
    <cellStyle name="Accent5 47 2" xfId="6398" xr:uid="{00000000-0005-0000-0000-0000FE180000}"/>
    <cellStyle name="Accent5 47 2 2" xfId="6399" xr:uid="{00000000-0005-0000-0000-0000FF180000}"/>
    <cellStyle name="Accent5 47 3" xfId="6400" xr:uid="{00000000-0005-0000-0000-000000190000}"/>
    <cellStyle name="Accent5 48" xfId="6401" xr:uid="{00000000-0005-0000-0000-000001190000}"/>
    <cellStyle name="Accent5 48 2" xfId="6402" xr:uid="{00000000-0005-0000-0000-000002190000}"/>
    <cellStyle name="Accent5 48 2 2" xfId="6403" xr:uid="{00000000-0005-0000-0000-000003190000}"/>
    <cellStyle name="Accent5 48 3" xfId="6404" xr:uid="{00000000-0005-0000-0000-000004190000}"/>
    <cellStyle name="Accent5 48 3 2" xfId="6405" xr:uid="{00000000-0005-0000-0000-000005190000}"/>
    <cellStyle name="Accent5 48 3 2 2" xfId="6406" xr:uid="{00000000-0005-0000-0000-000006190000}"/>
    <cellStyle name="Accent5 48 3 3" xfId="6407" xr:uid="{00000000-0005-0000-0000-000007190000}"/>
    <cellStyle name="Accent5 48 4" xfId="6408" xr:uid="{00000000-0005-0000-0000-000008190000}"/>
    <cellStyle name="Accent5 49" xfId="6409" xr:uid="{00000000-0005-0000-0000-000009190000}"/>
    <cellStyle name="Accent5 49 2" xfId="6410" xr:uid="{00000000-0005-0000-0000-00000A190000}"/>
    <cellStyle name="Accent5 49 2 2" xfId="6411" xr:uid="{00000000-0005-0000-0000-00000B190000}"/>
    <cellStyle name="Accent5 49 3" xfId="6412" xr:uid="{00000000-0005-0000-0000-00000C190000}"/>
    <cellStyle name="Accent5 49 3 2" xfId="6413" xr:uid="{00000000-0005-0000-0000-00000D190000}"/>
    <cellStyle name="Accent5 49 3 2 2" xfId="6414" xr:uid="{00000000-0005-0000-0000-00000E190000}"/>
    <cellStyle name="Accent5 49 3 3" xfId="6415" xr:uid="{00000000-0005-0000-0000-00000F190000}"/>
    <cellStyle name="Accent5 49 4" xfId="6416" xr:uid="{00000000-0005-0000-0000-000010190000}"/>
    <cellStyle name="Accent5 5" xfId="6417" xr:uid="{00000000-0005-0000-0000-000011190000}"/>
    <cellStyle name="Accent5 5 2" xfId="6418" xr:uid="{00000000-0005-0000-0000-000012190000}"/>
    <cellStyle name="Accent5 5 2 2" xfId="6419" xr:uid="{00000000-0005-0000-0000-000013190000}"/>
    <cellStyle name="Accent5 5 2 2 2" xfId="6420" xr:uid="{00000000-0005-0000-0000-000014190000}"/>
    <cellStyle name="Accent5 5 2 3" xfId="6421" xr:uid="{00000000-0005-0000-0000-000015190000}"/>
    <cellStyle name="Accent5 5 2 3 2" xfId="6422" xr:uid="{00000000-0005-0000-0000-000016190000}"/>
    <cellStyle name="Accent5 5 2 3 2 2" xfId="6423" xr:uid="{00000000-0005-0000-0000-000017190000}"/>
    <cellStyle name="Accent5 5 2 3 3" xfId="6424" xr:uid="{00000000-0005-0000-0000-000018190000}"/>
    <cellStyle name="Accent5 5 2 4" xfId="6425" xr:uid="{00000000-0005-0000-0000-000019190000}"/>
    <cellStyle name="Accent5 5 3" xfId="6426" xr:uid="{00000000-0005-0000-0000-00001A190000}"/>
    <cellStyle name="Accent5 5 3 2" xfId="6427" xr:uid="{00000000-0005-0000-0000-00001B190000}"/>
    <cellStyle name="Accent5 5 3 2 2" xfId="6428" xr:uid="{00000000-0005-0000-0000-00001C190000}"/>
    <cellStyle name="Accent5 5 3 3" xfId="6429" xr:uid="{00000000-0005-0000-0000-00001D190000}"/>
    <cellStyle name="Accent5 5 3 3 2" xfId="6430" xr:uid="{00000000-0005-0000-0000-00001E190000}"/>
    <cellStyle name="Accent5 5 3 3 2 2" xfId="6431" xr:uid="{00000000-0005-0000-0000-00001F190000}"/>
    <cellStyle name="Accent5 5 3 3 3" xfId="6432" xr:uid="{00000000-0005-0000-0000-000020190000}"/>
    <cellStyle name="Accent5 5 3 4" xfId="6433" xr:uid="{00000000-0005-0000-0000-000021190000}"/>
    <cellStyle name="Accent5 5 4" xfId="6434" xr:uid="{00000000-0005-0000-0000-000022190000}"/>
    <cellStyle name="Accent5 5 4 2" xfId="6435" xr:uid="{00000000-0005-0000-0000-000023190000}"/>
    <cellStyle name="Accent5 5 5" xfId="6436" xr:uid="{00000000-0005-0000-0000-000024190000}"/>
    <cellStyle name="Accent5 5 5 2" xfId="6437" xr:uid="{00000000-0005-0000-0000-000025190000}"/>
    <cellStyle name="Accent5 5 5 2 2" xfId="6438" xr:uid="{00000000-0005-0000-0000-000026190000}"/>
    <cellStyle name="Accent5 5 5 3" xfId="6439" xr:uid="{00000000-0005-0000-0000-000027190000}"/>
    <cellStyle name="Accent5 5 6" xfId="6440" xr:uid="{00000000-0005-0000-0000-000028190000}"/>
    <cellStyle name="Accent5 5 6 2" xfId="6441" xr:uid="{00000000-0005-0000-0000-000029190000}"/>
    <cellStyle name="Accent5 5 7" xfId="6442" xr:uid="{00000000-0005-0000-0000-00002A190000}"/>
    <cellStyle name="Accent5 50" xfId="6443" xr:uid="{00000000-0005-0000-0000-00002B190000}"/>
    <cellStyle name="Accent5 50 2" xfId="6444" xr:uid="{00000000-0005-0000-0000-00002C190000}"/>
    <cellStyle name="Accent5 50 2 2" xfId="6445" xr:uid="{00000000-0005-0000-0000-00002D190000}"/>
    <cellStyle name="Accent5 50 3" xfId="6446" xr:uid="{00000000-0005-0000-0000-00002E190000}"/>
    <cellStyle name="Accent5 50 3 2" xfId="6447" xr:uid="{00000000-0005-0000-0000-00002F190000}"/>
    <cellStyle name="Accent5 50 3 2 2" xfId="6448" xr:uid="{00000000-0005-0000-0000-000030190000}"/>
    <cellStyle name="Accent5 50 3 3" xfId="6449" xr:uid="{00000000-0005-0000-0000-000031190000}"/>
    <cellStyle name="Accent5 50 4" xfId="6450" xr:uid="{00000000-0005-0000-0000-000032190000}"/>
    <cellStyle name="Accent5 51" xfId="6451" xr:uid="{00000000-0005-0000-0000-000033190000}"/>
    <cellStyle name="Accent5 51 2" xfId="6452" xr:uid="{00000000-0005-0000-0000-000034190000}"/>
    <cellStyle name="Accent5 51 2 2" xfId="6453" xr:uid="{00000000-0005-0000-0000-000035190000}"/>
    <cellStyle name="Accent5 51 3" xfId="6454" xr:uid="{00000000-0005-0000-0000-000036190000}"/>
    <cellStyle name="Accent5 51 3 2" xfId="6455" xr:uid="{00000000-0005-0000-0000-000037190000}"/>
    <cellStyle name="Accent5 51 3 2 2" xfId="6456" xr:uid="{00000000-0005-0000-0000-000038190000}"/>
    <cellStyle name="Accent5 51 3 3" xfId="6457" xr:uid="{00000000-0005-0000-0000-000039190000}"/>
    <cellStyle name="Accent5 51 4" xfId="6458" xr:uid="{00000000-0005-0000-0000-00003A190000}"/>
    <cellStyle name="Accent5 52" xfId="6459" xr:uid="{00000000-0005-0000-0000-00003B190000}"/>
    <cellStyle name="Accent5 52 2" xfId="6460" xr:uid="{00000000-0005-0000-0000-00003C190000}"/>
    <cellStyle name="Accent5 52 2 2" xfId="6461" xr:uid="{00000000-0005-0000-0000-00003D190000}"/>
    <cellStyle name="Accent5 52 3" xfId="6462" xr:uid="{00000000-0005-0000-0000-00003E190000}"/>
    <cellStyle name="Accent5 53" xfId="6463" xr:uid="{00000000-0005-0000-0000-00003F190000}"/>
    <cellStyle name="Accent5 53 2" xfId="6464" xr:uid="{00000000-0005-0000-0000-000040190000}"/>
    <cellStyle name="Accent5 53 2 2" xfId="6465" xr:uid="{00000000-0005-0000-0000-000041190000}"/>
    <cellStyle name="Accent5 53 3" xfId="6466" xr:uid="{00000000-0005-0000-0000-000042190000}"/>
    <cellStyle name="Accent5 54" xfId="6467" xr:uid="{00000000-0005-0000-0000-000043190000}"/>
    <cellStyle name="Accent5 54 2" xfId="6468" xr:uid="{00000000-0005-0000-0000-000044190000}"/>
    <cellStyle name="Accent5 54 2 2" xfId="6469" xr:uid="{00000000-0005-0000-0000-000045190000}"/>
    <cellStyle name="Accent5 54 3" xfId="6470" xr:uid="{00000000-0005-0000-0000-000046190000}"/>
    <cellStyle name="Accent5 55" xfId="6471" xr:uid="{00000000-0005-0000-0000-000047190000}"/>
    <cellStyle name="Accent5 55 2" xfId="6472" xr:uid="{00000000-0005-0000-0000-000048190000}"/>
    <cellStyle name="Accent5 55 2 2" xfId="6473" xr:uid="{00000000-0005-0000-0000-000049190000}"/>
    <cellStyle name="Accent5 55 3" xfId="6474" xr:uid="{00000000-0005-0000-0000-00004A190000}"/>
    <cellStyle name="Accent5 56" xfId="6475" xr:uid="{00000000-0005-0000-0000-00004B190000}"/>
    <cellStyle name="Accent5 56 2" xfId="6476" xr:uid="{00000000-0005-0000-0000-00004C190000}"/>
    <cellStyle name="Accent5 56 2 2" xfId="6477" xr:uid="{00000000-0005-0000-0000-00004D190000}"/>
    <cellStyle name="Accent5 56 3" xfId="6478" xr:uid="{00000000-0005-0000-0000-00004E190000}"/>
    <cellStyle name="Accent5 57" xfId="6479" xr:uid="{00000000-0005-0000-0000-00004F190000}"/>
    <cellStyle name="Accent5 57 2" xfId="6480" xr:uid="{00000000-0005-0000-0000-000050190000}"/>
    <cellStyle name="Accent5 57 2 2" xfId="6481" xr:uid="{00000000-0005-0000-0000-000051190000}"/>
    <cellStyle name="Accent5 57 3" xfId="6482" xr:uid="{00000000-0005-0000-0000-000052190000}"/>
    <cellStyle name="Accent5 58" xfId="6483" xr:uid="{00000000-0005-0000-0000-000053190000}"/>
    <cellStyle name="Accent5 58 2" xfId="6484" xr:uid="{00000000-0005-0000-0000-000054190000}"/>
    <cellStyle name="Accent5 58 2 2" xfId="6485" xr:uid="{00000000-0005-0000-0000-000055190000}"/>
    <cellStyle name="Accent5 58 3" xfId="6486" xr:uid="{00000000-0005-0000-0000-000056190000}"/>
    <cellStyle name="Accent5 58 3 2" xfId="6487" xr:uid="{00000000-0005-0000-0000-000057190000}"/>
    <cellStyle name="Accent5 58 3 2 2" xfId="6488" xr:uid="{00000000-0005-0000-0000-000058190000}"/>
    <cellStyle name="Accent5 58 3 3" xfId="6489" xr:uid="{00000000-0005-0000-0000-000059190000}"/>
    <cellStyle name="Accent5 58 4" xfId="6490" xr:uid="{00000000-0005-0000-0000-00005A190000}"/>
    <cellStyle name="Accent5 59" xfId="6491" xr:uid="{00000000-0005-0000-0000-00005B190000}"/>
    <cellStyle name="Accent5 59 2" xfId="6492" xr:uid="{00000000-0005-0000-0000-00005C190000}"/>
    <cellStyle name="Accent5 59 2 2" xfId="6493" xr:uid="{00000000-0005-0000-0000-00005D190000}"/>
    <cellStyle name="Accent5 59 3" xfId="6494" xr:uid="{00000000-0005-0000-0000-00005E190000}"/>
    <cellStyle name="Accent5 59 3 2" xfId="6495" xr:uid="{00000000-0005-0000-0000-00005F190000}"/>
    <cellStyle name="Accent5 59 3 2 2" xfId="6496" xr:uid="{00000000-0005-0000-0000-000060190000}"/>
    <cellStyle name="Accent5 59 3 3" xfId="6497" xr:uid="{00000000-0005-0000-0000-000061190000}"/>
    <cellStyle name="Accent5 59 4" xfId="6498" xr:uid="{00000000-0005-0000-0000-000062190000}"/>
    <cellStyle name="Accent5 6" xfId="6499" xr:uid="{00000000-0005-0000-0000-000063190000}"/>
    <cellStyle name="Accent5 6 2" xfId="6500" xr:uid="{00000000-0005-0000-0000-000064190000}"/>
    <cellStyle name="Accent5 6 2 2" xfId="6501" xr:uid="{00000000-0005-0000-0000-000065190000}"/>
    <cellStyle name="Accent5 6 2 2 2" xfId="6502" xr:uid="{00000000-0005-0000-0000-000066190000}"/>
    <cellStyle name="Accent5 6 2 3" xfId="6503" xr:uid="{00000000-0005-0000-0000-000067190000}"/>
    <cellStyle name="Accent5 6 2 3 2" xfId="6504" xr:uid="{00000000-0005-0000-0000-000068190000}"/>
    <cellStyle name="Accent5 6 2 3 2 2" xfId="6505" xr:uid="{00000000-0005-0000-0000-000069190000}"/>
    <cellStyle name="Accent5 6 2 3 3" xfId="6506" xr:uid="{00000000-0005-0000-0000-00006A190000}"/>
    <cellStyle name="Accent5 6 2 4" xfId="6507" xr:uid="{00000000-0005-0000-0000-00006B190000}"/>
    <cellStyle name="Accent5 6 3" xfId="6508" xr:uid="{00000000-0005-0000-0000-00006C190000}"/>
    <cellStyle name="Accent5 6 3 2" xfId="6509" xr:uid="{00000000-0005-0000-0000-00006D190000}"/>
    <cellStyle name="Accent5 6 4" xfId="6510" xr:uid="{00000000-0005-0000-0000-00006E190000}"/>
    <cellStyle name="Accent5 6 4 2" xfId="6511" xr:uid="{00000000-0005-0000-0000-00006F190000}"/>
    <cellStyle name="Accent5 6 4 2 2" xfId="6512" xr:uid="{00000000-0005-0000-0000-000070190000}"/>
    <cellStyle name="Accent5 6 4 3" xfId="6513" xr:uid="{00000000-0005-0000-0000-000071190000}"/>
    <cellStyle name="Accent5 6 5" xfId="6514" xr:uid="{00000000-0005-0000-0000-000072190000}"/>
    <cellStyle name="Accent5 60" xfId="6515" xr:uid="{00000000-0005-0000-0000-000073190000}"/>
    <cellStyle name="Accent5 60 2" xfId="6516" xr:uid="{00000000-0005-0000-0000-000074190000}"/>
    <cellStyle name="Accent5 60 2 2" xfId="6517" xr:uid="{00000000-0005-0000-0000-000075190000}"/>
    <cellStyle name="Accent5 60 3" xfId="6518" xr:uid="{00000000-0005-0000-0000-000076190000}"/>
    <cellStyle name="Accent5 60 3 2" xfId="6519" xr:uid="{00000000-0005-0000-0000-000077190000}"/>
    <cellStyle name="Accent5 60 3 2 2" xfId="6520" xr:uid="{00000000-0005-0000-0000-000078190000}"/>
    <cellStyle name="Accent5 60 3 3" xfId="6521" xr:uid="{00000000-0005-0000-0000-000079190000}"/>
    <cellStyle name="Accent5 60 4" xfId="6522" xr:uid="{00000000-0005-0000-0000-00007A190000}"/>
    <cellStyle name="Accent5 61" xfId="6523" xr:uid="{00000000-0005-0000-0000-00007B190000}"/>
    <cellStyle name="Accent5 61 2" xfId="6524" xr:uid="{00000000-0005-0000-0000-00007C190000}"/>
    <cellStyle name="Accent5 61 2 2" xfId="6525" xr:uid="{00000000-0005-0000-0000-00007D190000}"/>
    <cellStyle name="Accent5 61 3" xfId="6526" xr:uid="{00000000-0005-0000-0000-00007E190000}"/>
    <cellStyle name="Accent5 61 3 2" xfId="6527" xr:uid="{00000000-0005-0000-0000-00007F190000}"/>
    <cellStyle name="Accent5 61 3 2 2" xfId="6528" xr:uid="{00000000-0005-0000-0000-000080190000}"/>
    <cellStyle name="Accent5 61 3 3" xfId="6529" xr:uid="{00000000-0005-0000-0000-000081190000}"/>
    <cellStyle name="Accent5 61 4" xfId="6530" xr:uid="{00000000-0005-0000-0000-000082190000}"/>
    <cellStyle name="Accent5 62" xfId="6531" xr:uid="{00000000-0005-0000-0000-000083190000}"/>
    <cellStyle name="Accent5 62 2" xfId="6532" xr:uid="{00000000-0005-0000-0000-000084190000}"/>
    <cellStyle name="Accent5 62 2 2" xfId="6533" xr:uid="{00000000-0005-0000-0000-000085190000}"/>
    <cellStyle name="Accent5 62 3" xfId="6534" xr:uid="{00000000-0005-0000-0000-000086190000}"/>
    <cellStyle name="Accent5 62 3 2" xfId="6535" xr:uid="{00000000-0005-0000-0000-000087190000}"/>
    <cellStyle name="Accent5 62 3 2 2" xfId="6536" xr:uid="{00000000-0005-0000-0000-000088190000}"/>
    <cellStyle name="Accent5 62 3 3" xfId="6537" xr:uid="{00000000-0005-0000-0000-000089190000}"/>
    <cellStyle name="Accent5 62 4" xfId="6538" xr:uid="{00000000-0005-0000-0000-00008A190000}"/>
    <cellStyle name="Accent5 63" xfId="6539" xr:uid="{00000000-0005-0000-0000-00008B190000}"/>
    <cellStyle name="Accent5 63 2" xfId="6540" xr:uid="{00000000-0005-0000-0000-00008C190000}"/>
    <cellStyle name="Accent5 63 2 2" xfId="6541" xr:uid="{00000000-0005-0000-0000-00008D190000}"/>
    <cellStyle name="Accent5 63 3" xfId="6542" xr:uid="{00000000-0005-0000-0000-00008E190000}"/>
    <cellStyle name="Accent5 63 3 2" xfId="6543" xr:uid="{00000000-0005-0000-0000-00008F190000}"/>
    <cellStyle name="Accent5 63 3 2 2" xfId="6544" xr:uid="{00000000-0005-0000-0000-000090190000}"/>
    <cellStyle name="Accent5 63 3 3" xfId="6545" xr:uid="{00000000-0005-0000-0000-000091190000}"/>
    <cellStyle name="Accent5 63 4" xfId="6546" xr:uid="{00000000-0005-0000-0000-000092190000}"/>
    <cellStyle name="Accent5 64" xfId="6547" xr:uid="{00000000-0005-0000-0000-000093190000}"/>
    <cellStyle name="Accent5 64 2" xfId="6548" xr:uid="{00000000-0005-0000-0000-000094190000}"/>
    <cellStyle name="Accent5 64 2 2" xfId="6549" xr:uid="{00000000-0005-0000-0000-000095190000}"/>
    <cellStyle name="Accent5 64 3" xfId="6550" xr:uid="{00000000-0005-0000-0000-000096190000}"/>
    <cellStyle name="Accent5 64 3 2" xfId="6551" xr:uid="{00000000-0005-0000-0000-000097190000}"/>
    <cellStyle name="Accent5 64 3 2 2" xfId="6552" xr:uid="{00000000-0005-0000-0000-000098190000}"/>
    <cellStyle name="Accent5 64 3 3" xfId="6553" xr:uid="{00000000-0005-0000-0000-000099190000}"/>
    <cellStyle name="Accent5 64 4" xfId="6554" xr:uid="{00000000-0005-0000-0000-00009A190000}"/>
    <cellStyle name="Accent5 65" xfId="6555" xr:uid="{00000000-0005-0000-0000-00009B190000}"/>
    <cellStyle name="Accent5 65 2" xfId="6556" xr:uid="{00000000-0005-0000-0000-00009C190000}"/>
    <cellStyle name="Accent5 65 2 2" xfId="6557" xr:uid="{00000000-0005-0000-0000-00009D190000}"/>
    <cellStyle name="Accent5 65 3" xfId="6558" xr:uid="{00000000-0005-0000-0000-00009E190000}"/>
    <cellStyle name="Accent5 65 3 2" xfId="6559" xr:uid="{00000000-0005-0000-0000-00009F190000}"/>
    <cellStyle name="Accent5 65 3 2 2" xfId="6560" xr:uid="{00000000-0005-0000-0000-0000A0190000}"/>
    <cellStyle name="Accent5 65 3 3" xfId="6561" xr:uid="{00000000-0005-0000-0000-0000A1190000}"/>
    <cellStyle name="Accent5 65 4" xfId="6562" xr:uid="{00000000-0005-0000-0000-0000A2190000}"/>
    <cellStyle name="Accent5 66" xfId="6563" xr:uid="{00000000-0005-0000-0000-0000A3190000}"/>
    <cellStyle name="Accent5 66 2" xfId="6564" xr:uid="{00000000-0005-0000-0000-0000A4190000}"/>
    <cellStyle name="Accent5 66 2 2" xfId="6565" xr:uid="{00000000-0005-0000-0000-0000A5190000}"/>
    <cellStyle name="Accent5 66 3" xfId="6566" xr:uid="{00000000-0005-0000-0000-0000A6190000}"/>
    <cellStyle name="Accent5 66 3 2" xfId="6567" xr:uid="{00000000-0005-0000-0000-0000A7190000}"/>
    <cellStyle name="Accent5 66 3 2 2" xfId="6568" xr:uid="{00000000-0005-0000-0000-0000A8190000}"/>
    <cellStyle name="Accent5 66 3 3" xfId="6569" xr:uid="{00000000-0005-0000-0000-0000A9190000}"/>
    <cellStyle name="Accent5 66 4" xfId="6570" xr:uid="{00000000-0005-0000-0000-0000AA190000}"/>
    <cellStyle name="Accent5 67" xfId="6571" xr:uid="{00000000-0005-0000-0000-0000AB190000}"/>
    <cellStyle name="Accent5 67 2" xfId="6572" xr:uid="{00000000-0005-0000-0000-0000AC190000}"/>
    <cellStyle name="Accent5 67 2 2" xfId="6573" xr:uid="{00000000-0005-0000-0000-0000AD190000}"/>
    <cellStyle name="Accent5 67 3" xfId="6574" xr:uid="{00000000-0005-0000-0000-0000AE190000}"/>
    <cellStyle name="Accent5 67 3 2" xfId="6575" xr:uid="{00000000-0005-0000-0000-0000AF190000}"/>
    <cellStyle name="Accent5 67 3 2 2" xfId="6576" xr:uid="{00000000-0005-0000-0000-0000B0190000}"/>
    <cellStyle name="Accent5 67 3 3" xfId="6577" xr:uid="{00000000-0005-0000-0000-0000B1190000}"/>
    <cellStyle name="Accent5 67 4" xfId="6578" xr:uid="{00000000-0005-0000-0000-0000B2190000}"/>
    <cellStyle name="Accent5 68" xfId="6579" xr:uid="{00000000-0005-0000-0000-0000B3190000}"/>
    <cellStyle name="Accent5 68 2" xfId="6580" xr:uid="{00000000-0005-0000-0000-0000B4190000}"/>
    <cellStyle name="Accent5 68 2 2" xfId="6581" xr:uid="{00000000-0005-0000-0000-0000B5190000}"/>
    <cellStyle name="Accent5 68 3" xfId="6582" xr:uid="{00000000-0005-0000-0000-0000B6190000}"/>
    <cellStyle name="Accent5 68 3 2" xfId="6583" xr:uid="{00000000-0005-0000-0000-0000B7190000}"/>
    <cellStyle name="Accent5 68 3 2 2" xfId="6584" xr:uid="{00000000-0005-0000-0000-0000B8190000}"/>
    <cellStyle name="Accent5 68 3 3" xfId="6585" xr:uid="{00000000-0005-0000-0000-0000B9190000}"/>
    <cellStyle name="Accent5 68 4" xfId="6586" xr:uid="{00000000-0005-0000-0000-0000BA190000}"/>
    <cellStyle name="Accent5 69" xfId="6587" xr:uid="{00000000-0005-0000-0000-0000BB190000}"/>
    <cellStyle name="Accent5 69 2" xfId="6588" xr:uid="{00000000-0005-0000-0000-0000BC190000}"/>
    <cellStyle name="Accent5 69 2 2" xfId="6589" xr:uid="{00000000-0005-0000-0000-0000BD190000}"/>
    <cellStyle name="Accent5 69 3" xfId="6590" xr:uid="{00000000-0005-0000-0000-0000BE190000}"/>
    <cellStyle name="Accent5 69 3 2" xfId="6591" xr:uid="{00000000-0005-0000-0000-0000BF190000}"/>
    <cellStyle name="Accent5 69 3 2 2" xfId="6592" xr:uid="{00000000-0005-0000-0000-0000C0190000}"/>
    <cellStyle name="Accent5 69 3 3" xfId="6593" xr:uid="{00000000-0005-0000-0000-0000C1190000}"/>
    <cellStyle name="Accent5 69 4" xfId="6594" xr:uid="{00000000-0005-0000-0000-0000C2190000}"/>
    <cellStyle name="Accent5 7" xfId="6595" xr:uid="{00000000-0005-0000-0000-0000C3190000}"/>
    <cellStyle name="Accent5 7 2" xfId="6596" xr:uid="{00000000-0005-0000-0000-0000C4190000}"/>
    <cellStyle name="Accent5 7 2 2" xfId="6597" xr:uid="{00000000-0005-0000-0000-0000C5190000}"/>
    <cellStyle name="Accent5 7 2 2 2" xfId="6598" xr:uid="{00000000-0005-0000-0000-0000C6190000}"/>
    <cellStyle name="Accent5 7 2 3" xfId="6599" xr:uid="{00000000-0005-0000-0000-0000C7190000}"/>
    <cellStyle name="Accent5 7 2 3 2" xfId="6600" xr:uid="{00000000-0005-0000-0000-0000C8190000}"/>
    <cellStyle name="Accent5 7 2 3 2 2" xfId="6601" xr:uid="{00000000-0005-0000-0000-0000C9190000}"/>
    <cellStyle name="Accent5 7 2 3 3" xfId="6602" xr:uid="{00000000-0005-0000-0000-0000CA190000}"/>
    <cellStyle name="Accent5 7 2 4" xfId="6603" xr:uid="{00000000-0005-0000-0000-0000CB190000}"/>
    <cellStyle name="Accent5 7 3" xfId="6604" xr:uid="{00000000-0005-0000-0000-0000CC190000}"/>
    <cellStyle name="Accent5 7 3 2" xfId="6605" xr:uid="{00000000-0005-0000-0000-0000CD190000}"/>
    <cellStyle name="Accent5 7 4" xfId="6606" xr:uid="{00000000-0005-0000-0000-0000CE190000}"/>
    <cellStyle name="Accent5 7 4 2" xfId="6607" xr:uid="{00000000-0005-0000-0000-0000CF190000}"/>
    <cellStyle name="Accent5 7 4 2 2" xfId="6608" xr:uid="{00000000-0005-0000-0000-0000D0190000}"/>
    <cellStyle name="Accent5 7 4 3" xfId="6609" xr:uid="{00000000-0005-0000-0000-0000D1190000}"/>
    <cellStyle name="Accent5 7 5" xfId="6610" xr:uid="{00000000-0005-0000-0000-0000D2190000}"/>
    <cellStyle name="Accent5 70" xfId="6611" xr:uid="{00000000-0005-0000-0000-0000D3190000}"/>
    <cellStyle name="Accent5 70 2" xfId="6612" xr:uid="{00000000-0005-0000-0000-0000D4190000}"/>
    <cellStyle name="Accent5 70 2 2" xfId="6613" xr:uid="{00000000-0005-0000-0000-0000D5190000}"/>
    <cellStyle name="Accent5 70 3" xfId="6614" xr:uid="{00000000-0005-0000-0000-0000D6190000}"/>
    <cellStyle name="Accent5 70 3 2" xfId="6615" xr:uid="{00000000-0005-0000-0000-0000D7190000}"/>
    <cellStyle name="Accent5 70 3 2 2" xfId="6616" xr:uid="{00000000-0005-0000-0000-0000D8190000}"/>
    <cellStyle name="Accent5 70 3 3" xfId="6617" xr:uid="{00000000-0005-0000-0000-0000D9190000}"/>
    <cellStyle name="Accent5 70 4" xfId="6618" xr:uid="{00000000-0005-0000-0000-0000DA190000}"/>
    <cellStyle name="Accent5 71" xfId="6619" xr:uid="{00000000-0005-0000-0000-0000DB190000}"/>
    <cellStyle name="Accent5 71 2" xfId="6620" xr:uid="{00000000-0005-0000-0000-0000DC190000}"/>
    <cellStyle name="Accent5 71 2 2" xfId="6621" xr:uid="{00000000-0005-0000-0000-0000DD190000}"/>
    <cellStyle name="Accent5 71 3" xfId="6622" xr:uid="{00000000-0005-0000-0000-0000DE190000}"/>
    <cellStyle name="Accent5 71 3 2" xfId="6623" xr:uid="{00000000-0005-0000-0000-0000DF190000}"/>
    <cellStyle name="Accent5 71 3 2 2" xfId="6624" xr:uid="{00000000-0005-0000-0000-0000E0190000}"/>
    <cellStyle name="Accent5 71 3 3" xfId="6625" xr:uid="{00000000-0005-0000-0000-0000E1190000}"/>
    <cellStyle name="Accent5 71 4" xfId="6626" xr:uid="{00000000-0005-0000-0000-0000E2190000}"/>
    <cellStyle name="Accent5 72" xfId="6627" xr:uid="{00000000-0005-0000-0000-0000E3190000}"/>
    <cellStyle name="Accent5 72 2" xfId="6628" xr:uid="{00000000-0005-0000-0000-0000E4190000}"/>
    <cellStyle name="Accent5 72 2 2" xfId="6629" xr:uid="{00000000-0005-0000-0000-0000E5190000}"/>
    <cellStyle name="Accent5 72 3" xfId="6630" xr:uid="{00000000-0005-0000-0000-0000E6190000}"/>
    <cellStyle name="Accent5 72 3 2" xfId="6631" xr:uid="{00000000-0005-0000-0000-0000E7190000}"/>
    <cellStyle name="Accent5 72 3 2 2" xfId="6632" xr:uid="{00000000-0005-0000-0000-0000E8190000}"/>
    <cellStyle name="Accent5 72 3 3" xfId="6633" xr:uid="{00000000-0005-0000-0000-0000E9190000}"/>
    <cellStyle name="Accent5 72 4" xfId="6634" xr:uid="{00000000-0005-0000-0000-0000EA190000}"/>
    <cellStyle name="Accent5 73" xfId="6635" xr:uid="{00000000-0005-0000-0000-0000EB190000}"/>
    <cellStyle name="Accent5 73 2" xfId="6636" xr:uid="{00000000-0005-0000-0000-0000EC190000}"/>
    <cellStyle name="Accent5 73 2 2" xfId="6637" xr:uid="{00000000-0005-0000-0000-0000ED190000}"/>
    <cellStyle name="Accent5 73 3" xfId="6638" xr:uid="{00000000-0005-0000-0000-0000EE190000}"/>
    <cellStyle name="Accent5 73 3 2" xfId="6639" xr:uid="{00000000-0005-0000-0000-0000EF190000}"/>
    <cellStyle name="Accent5 73 3 2 2" xfId="6640" xr:uid="{00000000-0005-0000-0000-0000F0190000}"/>
    <cellStyle name="Accent5 73 3 3" xfId="6641" xr:uid="{00000000-0005-0000-0000-0000F1190000}"/>
    <cellStyle name="Accent5 73 4" xfId="6642" xr:uid="{00000000-0005-0000-0000-0000F2190000}"/>
    <cellStyle name="Accent5 74" xfId="6643" xr:uid="{00000000-0005-0000-0000-0000F3190000}"/>
    <cellStyle name="Accent5 74 2" xfId="6644" xr:uid="{00000000-0005-0000-0000-0000F4190000}"/>
    <cellStyle name="Accent5 74 2 2" xfId="6645" xr:uid="{00000000-0005-0000-0000-0000F5190000}"/>
    <cellStyle name="Accent5 74 3" xfId="6646" xr:uid="{00000000-0005-0000-0000-0000F6190000}"/>
    <cellStyle name="Accent5 74 3 2" xfId="6647" xr:uid="{00000000-0005-0000-0000-0000F7190000}"/>
    <cellStyle name="Accent5 74 3 2 2" xfId="6648" xr:uid="{00000000-0005-0000-0000-0000F8190000}"/>
    <cellStyle name="Accent5 74 3 3" xfId="6649" xr:uid="{00000000-0005-0000-0000-0000F9190000}"/>
    <cellStyle name="Accent5 74 4" xfId="6650" xr:uid="{00000000-0005-0000-0000-0000FA190000}"/>
    <cellStyle name="Accent5 75" xfId="6651" xr:uid="{00000000-0005-0000-0000-0000FB190000}"/>
    <cellStyle name="Accent5 75 2" xfId="6652" xr:uid="{00000000-0005-0000-0000-0000FC190000}"/>
    <cellStyle name="Accent5 75 2 2" xfId="6653" xr:uid="{00000000-0005-0000-0000-0000FD190000}"/>
    <cellStyle name="Accent5 75 3" xfId="6654" xr:uid="{00000000-0005-0000-0000-0000FE190000}"/>
    <cellStyle name="Accent5 75 3 2" xfId="6655" xr:uid="{00000000-0005-0000-0000-0000FF190000}"/>
    <cellStyle name="Accent5 75 3 2 2" xfId="6656" xr:uid="{00000000-0005-0000-0000-0000001A0000}"/>
    <cellStyle name="Accent5 75 3 3" xfId="6657" xr:uid="{00000000-0005-0000-0000-0000011A0000}"/>
    <cellStyle name="Accent5 75 4" xfId="6658" xr:uid="{00000000-0005-0000-0000-0000021A0000}"/>
    <cellStyle name="Accent5 76" xfId="6659" xr:uid="{00000000-0005-0000-0000-0000031A0000}"/>
    <cellStyle name="Accent5 76 2" xfId="6660" xr:uid="{00000000-0005-0000-0000-0000041A0000}"/>
    <cellStyle name="Accent5 76 2 2" xfId="6661" xr:uid="{00000000-0005-0000-0000-0000051A0000}"/>
    <cellStyle name="Accent5 76 3" xfId="6662" xr:uid="{00000000-0005-0000-0000-0000061A0000}"/>
    <cellStyle name="Accent5 76 3 2" xfId="6663" xr:uid="{00000000-0005-0000-0000-0000071A0000}"/>
    <cellStyle name="Accent5 76 3 2 2" xfId="6664" xr:uid="{00000000-0005-0000-0000-0000081A0000}"/>
    <cellStyle name="Accent5 76 3 3" xfId="6665" xr:uid="{00000000-0005-0000-0000-0000091A0000}"/>
    <cellStyle name="Accent5 76 4" xfId="6666" xr:uid="{00000000-0005-0000-0000-00000A1A0000}"/>
    <cellStyle name="Accent5 77" xfId="6667" xr:uid="{00000000-0005-0000-0000-00000B1A0000}"/>
    <cellStyle name="Accent5 77 2" xfId="6668" xr:uid="{00000000-0005-0000-0000-00000C1A0000}"/>
    <cellStyle name="Accent5 77 2 2" xfId="6669" xr:uid="{00000000-0005-0000-0000-00000D1A0000}"/>
    <cellStyle name="Accent5 77 3" xfId="6670" xr:uid="{00000000-0005-0000-0000-00000E1A0000}"/>
    <cellStyle name="Accent5 77 3 2" xfId="6671" xr:uid="{00000000-0005-0000-0000-00000F1A0000}"/>
    <cellStyle name="Accent5 77 3 2 2" xfId="6672" xr:uid="{00000000-0005-0000-0000-0000101A0000}"/>
    <cellStyle name="Accent5 77 3 3" xfId="6673" xr:uid="{00000000-0005-0000-0000-0000111A0000}"/>
    <cellStyle name="Accent5 77 4" xfId="6674" xr:uid="{00000000-0005-0000-0000-0000121A0000}"/>
    <cellStyle name="Accent5 78" xfId="6675" xr:uid="{00000000-0005-0000-0000-0000131A0000}"/>
    <cellStyle name="Accent5 78 2" xfId="6676" xr:uid="{00000000-0005-0000-0000-0000141A0000}"/>
    <cellStyle name="Accent5 78 2 2" xfId="6677" xr:uid="{00000000-0005-0000-0000-0000151A0000}"/>
    <cellStyle name="Accent5 78 3" xfId="6678" xr:uid="{00000000-0005-0000-0000-0000161A0000}"/>
    <cellStyle name="Accent5 78 3 2" xfId="6679" xr:uid="{00000000-0005-0000-0000-0000171A0000}"/>
    <cellStyle name="Accent5 78 3 2 2" xfId="6680" xr:uid="{00000000-0005-0000-0000-0000181A0000}"/>
    <cellStyle name="Accent5 78 3 3" xfId="6681" xr:uid="{00000000-0005-0000-0000-0000191A0000}"/>
    <cellStyle name="Accent5 78 4" xfId="6682" xr:uid="{00000000-0005-0000-0000-00001A1A0000}"/>
    <cellStyle name="Accent5 79" xfId="6683" xr:uid="{00000000-0005-0000-0000-00001B1A0000}"/>
    <cellStyle name="Accent5 79 2" xfId="6684" xr:uid="{00000000-0005-0000-0000-00001C1A0000}"/>
    <cellStyle name="Accent5 79 2 2" xfId="6685" xr:uid="{00000000-0005-0000-0000-00001D1A0000}"/>
    <cellStyle name="Accent5 79 3" xfId="6686" xr:uid="{00000000-0005-0000-0000-00001E1A0000}"/>
    <cellStyle name="Accent5 79 3 2" xfId="6687" xr:uid="{00000000-0005-0000-0000-00001F1A0000}"/>
    <cellStyle name="Accent5 79 3 2 2" xfId="6688" xr:uid="{00000000-0005-0000-0000-0000201A0000}"/>
    <cellStyle name="Accent5 79 3 3" xfId="6689" xr:uid="{00000000-0005-0000-0000-0000211A0000}"/>
    <cellStyle name="Accent5 79 4" xfId="6690" xr:uid="{00000000-0005-0000-0000-0000221A0000}"/>
    <cellStyle name="Accent5 8" xfId="6691" xr:uid="{00000000-0005-0000-0000-0000231A0000}"/>
    <cellStyle name="Accent5 8 2" xfId="6692" xr:uid="{00000000-0005-0000-0000-0000241A0000}"/>
    <cellStyle name="Accent5 8 2 2" xfId="6693" xr:uid="{00000000-0005-0000-0000-0000251A0000}"/>
    <cellStyle name="Accent5 8 3" xfId="6694" xr:uid="{00000000-0005-0000-0000-0000261A0000}"/>
    <cellStyle name="Accent5 80" xfId="6695" xr:uid="{00000000-0005-0000-0000-0000271A0000}"/>
    <cellStyle name="Accent5 80 2" xfId="6696" xr:uid="{00000000-0005-0000-0000-0000281A0000}"/>
    <cellStyle name="Accent5 80 2 2" xfId="6697" xr:uid="{00000000-0005-0000-0000-0000291A0000}"/>
    <cellStyle name="Accent5 80 3" xfId="6698" xr:uid="{00000000-0005-0000-0000-00002A1A0000}"/>
    <cellStyle name="Accent5 80 3 2" xfId="6699" xr:uid="{00000000-0005-0000-0000-00002B1A0000}"/>
    <cellStyle name="Accent5 80 3 2 2" xfId="6700" xr:uid="{00000000-0005-0000-0000-00002C1A0000}"/>
    <cellStyle name="Accent5 80 3 3" xfId="6701" xr:uid="{00000000-0005-0000-0000-00002D1A0000}"/>
    <cellStyle name="Accent5 80 4" xfId="6702" xr:uid="{00000000-0005-0000-0000-00002E1A0000}"/>
    <cellStyle name="Accent5 81" xfId="6703" xr:uid="{00000000-0005-0000-0000-00002F1A0000}"/>
    <cellStyle name="Accent5 81 2" xfId="6704" xr:uid="{00000000-0005-0000-0000-0000301A0000}"/>
    <cellStyle name="Accent5 81 2 2" xfId="6705" xr:uid="{00000000-0005-0000-0000-0000311A0000}"/>
    <cellStyle name="Accent5 81 3" xfId="6706" xr:uid="{00000000-0005-0000-0000-0000321A0000}"/>
    <cellStyle name="Accent5 81 3 2" xfId="6707" xr:uid="{00000000-0005-0000-0000-0000331A0000}"/>
    <cellStyle name="Accent5 81 3 2 2" xfId="6708" xr:uid="{00000000-0005-0000-0000-0000341A0000}"/>
    <cellStyle name="Accent5 81 3 3" xfId="6709" xr:uid="{00000000-0005-0000-0000-0000351A0000}"/>
    <cellStyle name="Accent5 81 4" xfId="6710" xr:uid="{00000000-0005-0000-0000-0000361A0000}"/>
    <cellStyle name="Accent5 82" xfId="6711" xr:uid="{00000000-0005-0000-0000-0000371A0000}"/>
    <cellStyle name="Accent5 82 2" xfId="6712" xr:uid="{00000000-0005-0000-0000-0000381A0000}"/>
    <cellStyle name="Accent5 82 2 2" xfId="6713" xr:uid="{00000000-0005-0000-0000-0000391A0000}"/>
    <cellStyle name="Accent5 82 3" xfId="6714" xr:uid="{00000000-0005-0000-0000-00003A1A0000}"/>
    <cellStyle name="Accent5 82 3 2" xfId="6715" xr:uid="{00000000-0005-0000-0000-00003B1A0000}"/>
    <cellStyle name="Accent5 82 3 2 2" xfId="6716" xr:uid="{00000000-0005-0000-0000-00003C1A0000}"/>
    <cellStyle name="Accent5 82 3 3" xfId="6717" xr:uid="{00000000-0005-0000-0000-00003D1A0000}"/>
    <cellStyle name="Accent5 82 4" xfId="6718" xr:uid="{00000000-0005-0000-0000-00003E1A0000}"/>
    <cellStyle name="Accent5 83" xfId="6719" xr:uid="{00000000-0005-0000-0000-00003F1A0000}"/>
    <cellStyle name="Accent5 83 2" xfId="6720" xr:uid="{00000000-0005-0000-0000-0000401A0000}"/>
    <cellStyle name="Accent5 83 2 2" xfId="6721" xr:uid="{00000000-0005-0000-0000-0000411A0000}"/>
    <cellStyle name="Accent5 83 3" xfId="6722" xr:uid="{00000000-0005-0000-0000-0000421A0000}"/>
    <cellStyle name="Accent5 83 3 2" xfId="6723" xr:uid="{00000000-0005-0000-0000-0000431A0000}"/>
    <cellStyle name="Accent5 83 3 2 2" xfId="6724" xr:uid="{00000000-0005-0000-0000-0000441A0000}"/>
    <cellStyle name="Accent5 83 3 3" xfId="6725" xr:uid="{00000000-0005-0000-0000-0000451A0000}"/>
    <cellStyle name="Accent5 83 4" xfId="6726" xr:uid="{00000000-0005-0000-0000-0000461A0000}"/>
    <cellStyle name="Accent5 84" xfId="6727" xr:uid="{00000000-0005-0000-0000-0000471A0000}"/>
    <cellStyle name="Accent5 84 2" xfId="6728" xr:uid="{00000000-0005-0000-0000-0000481A0000}"/>
    <cellStyle name="Accent5 84 2 2" xfId="6729" xr:uid="{00000000-0005-0000-0000-0000491A0000}"/>
    <cellStyle name="Accent5 84 3" xfId="6730" xr:uid="{00000000-0005-0000-0000-00004A1A0000}"/>
    <cellStyle name="Accent5 85" xfId="6731" xr:uid="{00000000-0005-0000-0000-00004B1A0000}"/>
    <cellStyle name="Accent5 85 2" xfId="6732" xr:uid="{00000000-0005-0000-0000-00004C1A0000}"/>
    <cellStyle name="Accent5 85 2 2" xfId="6733" xr:uid="{00000000-0005-0000-0000-00004D1A0000}"/>
    <cellStyle name="Accent5 85 3" xfId="6734" xr:uid="{00000000-0005-0000-0000-00004E1A0000}"/>
    <cellStyle name="Accent5 86" xfId="6735" xr:uid="{00000000-0005-0000-0000-00004F1A0000}"/>
    <cellStyle name="Accent5 86 2" xfId="6736" xr:uid="{00000000-0005-0000-0000-0000501A0000}"/>
    <cellStyle name="Accent5 86 2 2" xfId="6737" xr:uid="{00000000-0005-0000-0000-0000511A0000}"/>
    <cellStyle name="Accent5 86 3" xfId="6738" xr:uid="{00000000-0005-0000-0000-0000521A0000}"/>
    <cellStyle name="Accent5 87" xfId="6739" xr:uid="{00000000-0005-0000-0000-0000531A0000}"/>
    <cellStyle name="Accent5 87 2" xfId="6740" xr:uid="{00000000-0005-0000-0000-0000541A0000}"/>
    <cellStyle name="Accent5 87 2 2" xfId="6741" xr:uid="{00000000-0005-0000-0000-0000551A0000}"/>
    <cellStyle name="Accent5 87 3" xfId="6742" xr:uid="{00000000-0005-0000-0000-0000561A0000}"/>
    <cellStyle name="Accent5 88" xfId="6743" xr:uid="{00000000-0005-0000-0000-0000571A0000}"/>
    <cellStyle name="Accent5 88 2" xfId="6744" xr:uid="{00000000-0005-0000-0000-0000581A0000}"/>
    <cellStyle name="Accent5 88 2 2" xfId="6745" xr:uid="{00000000-0005-0000-0000-0000591A0000}"/>
    <cellStyle name="Accent5 88 3" xfId="6746" xr:uid="{00000000-0005-0000-0000-00005A1A0000}"/>
    <cellStyle name="Accent5 89" xfId="6747" xr:uid="{00000000-0005-0000-0000-00005B1A0000}"/>
    <cellStyle name="Accent5 89 2" xfId="6748" xr:uid="{00000000-0005-0000-0000-00005C1A0000}"/>
    <cellStyle name="Accent5 89 2 2" xfId="6749" xr:uid="{00000000-0005-0000-0000-00005D1A0000}"/>
    <cellStyle name="Accent5 89 3" xfId="6750" xr:uid="{00000000-0005-0000-0000-00005E1A0000}"/>
    <cellStyle name="Accent5 9" xfId="6751" xr:uid="{00000000-0005-0000-0000-00005F1A0000}"/>
    <cellStyle name="Accent5 9 2" xfId="6752" xr:uid="{00000000-0005-0000-0000-0000601A0000}"/>
    <cellStyle name="Accent5 9 2 2" xfId="6753" xr:uid="{00000000-0005-0000-0000-0000611A0000}"/>
    <cellStyle name="Accent5 9 3" xfId="6754" xr:uid="{00000000-0005-0000-0000-0000621A0000}"/>
    <cellStyle name="Accent5 90" xfId="6755" xr:uid="{00000000-0005-0000-0000-0000631A0000}"/>
    <cellStyle name="Accent5 90 2" xfId="6756" xr:uid="{00000000-0005-0000-0000-0000641A0000}"/>
    <cellStyle name="Accent5 90 2 2" xfId="6757" xr:uid="{00000000-0005-0000-0000-0000651A0000}"/>
    <cellStyle name="Accent5 90 3" xfId="6758" xr:uid="{00000000-0005-0000-0000-0000661A0000}"/>
    <cellStyle name="Accent5 91" xfId="6759" xr:uid="{00000000-0005-0000-0000-0000671A0000}"/>
    <cellStyle name="Accent5 91 2" xfId="6760" xr:uid="{00000000-0005-0000-0000-0000681A0000}"/>
    <cellStyle name="Accent5 91 2 2" xfId="6761" xr:uid="{00000000-0005-0000-0000-0000691A0000}"/>
    <cellStyle name="Accent5 91 3" xfId="6762" xr:uid="{00000000-0005-0000-0000-00006A1A0000}"/>
    <cellStyle name="Accent5 92" xfId="6763" xr:uid="{00000000-0005-0000-0000-00006B1A0000}"/>
    <cellStyle name="Accent5 92 2" xfId="6764" xr:uid="{00000000-0005-0000-0000-00006C1A0000}"/>
    <cellStyle name="Accent5 92 2 2" xfId="6765" xr:uid="{00000000-0005-0000-0000-00006D1A0000}"/>
    <cellStyle name="Accent5 92 3" xfId="6766" xr:uid="{00000000-0005-0000-0000-00006E1A0000}"/>
    <cellStyle name="Accent5 93" xfId="6767" xr:uid="{00000000-0005-0000-0000-00006F1A0000}"/>
    <cellStyle name="Accent5 93 2" xfId="6768" xr:uid="{00000000-0005-0000-0000-0000701A0000}"/>
    <cellStyle name="Accent5 93 2 2" xfId="6769" xr:uid="{00000000-0005-0000-0000-0000711A0000}"/>
    <cellStyle name="Accent5 93 3" xfId="6770" xr:uid="{00000000-0005-0000-0000-0000721A0000}"/>
    <cellStyle name="Accent5 94" xfId="6771" xr:uid="{00000000-0005-0000-0000-0000731A0000}"/>
    <cellStyle name="Accent5 94 2" xfId="6772" xr:uid="{00000000-0005-0000-0000-0000741A0000}"/>
    <cellStyle name="Accent5 94 2 2" xfId="6773" xr:uid="{00000000-0005-0000-0000-0000751A0000}"/>
    <cellStyle name="Accent5 94 3" xfId="6774" xr:uid="{00000000-0005-0000-0000-0000761A0000}"/>
    <cellStyle name="Accent5 95" xfId="6775" xr:uid="{00000000-0005-0000-0000-0000771A0000}"/>
    <cellStyle name="Accent5 95 2" xfId="6776" xr:uid="{00000000-0005-0000-0000-0000781A0000}"/>
    <cellStyle name="Accent5 95 2 2" xfId="6777" xr:uid="{00000000-0005-0000-0000-0000791A0000}"/>
    <cellStyle name="Accent5 95 3" xfId="6778" xr:uid="{00000000-0005-0000-0000-00007A1A0000}"/>
    <cellStyle name="Accent5 96" xfId="6779" xr:uid="{00000000-0005-0000-0000-00007B1A0000}"/>
    <cellStyle name="Accent5 96 2" xfId="6780" xr:uid="{00000000-0005-0000-0000-00007C1A0000}"/>
    <cellStyle name="Accent5 96 2 2" xfId="6781" xr:uid="{00000000-0005-0000-0000-00007D1A0000}"/>
    <cellStyle name="Accent5 96 3" xfId="6782" xr:uid="{00000000-0005-0000-0000-00007E1A0000}"/>
    <cellStyle name="Accent5 97" xfId="6783" xr:uid="{00000000-0005-0000-0000-00007F1A0000}"/>
    <cellStyle name="Accent5 97 2" xfId="6784" xr:uid="{00000000-0005-0000-0000-0000801A0000}"/>
    <cellStyle name="Accent5 97 2 2" xfId="6785" xr:uid="{00000000-0005-0000-0000-0000811A0000}"/>
    <cellStyle name="Accent5 97 3" xfId="6786" xr:uid="{00000000-0005-0000-0000-0000821A0000}"/>
    <cellStyle name="Accent5 98" xfId="6787" xr:uid="{00000000-0005-0000-0000-0000831A0000}"/>
    <cellStyle name="Accent5 98 2" xfId="6788" xr:uid="{00000000-0005-0000-0000-0000841A0000}"/>
    <cellStyle name="Accent5 98 2 2" xfId="6789" xr:uid="{00000000-0005-0000-0000-0000851A0000}"/>
    <cellStyle name="Accent5 98 3" xfId="6790" xr:uid="{00000000-0005-0000-0000-0000861A0000}"/>
    <cellStyle name="Accent5 99" xfId="6791" xr:uid="{00000000-0005-0000-0000-0000871A0000}"/>
    <cellStyle name="Accent5 99 2" xfId="6792" xr:uid="{00000000-0005-0000-0000-0000881A0000}"/>
    <cellStyle name="Accent5 99 2 2" xfId="6793" xr:uid="{00000000-0005-0000-0000-0000891A0000}"/>
    <cellStyle name="Accent5 99 3" xfId="6794" xr:uid="{00000000-0005-0000-0000-00008A1A0000}"/>
    <cellStyle name="Accent6 - 20%" xfId="6795" xr:uid="{00000000-0005-0000-0000-00008B1A0000}"/>
    <cellStyle name="Accent6 - 20% 2" xfId="6796" xr:uid="{00000000-0005-0000-0000-00008C1A0000}"/>
    <cellStyle name="Accent6 - 20% 2 2" xfId="6797" xr:uid="{00000000-0005-0000-0000-00008D1A0000}"/>
    <cellStyle name="Accent6 - 20% 2 2 2" xfId="6798" xr:uid="{00000000-0005-0000-0000-00008E1A0000}"/>
    <cellStyle name="Accent6 - 20% 2 2 2 2" xfId="6799" xr:uid="{00000000-0005-0000-0000-00008F1A0000}"/>
    <cellStyle name="Accent6 - 20% 2 2 3" xfId="6800" xr:uid="{00000000-0005-0000-0000-0000901A0000}"/>
    <cellStyle name="Accent6 - 20% 2 3" xfId="6801" xr:uid="{00000000-0005-0000-0000-0000911A0000}"/>
    <cellStyle name="Accent6 - 20% 2 3 2" xfId="6802" xr:uid="{00000000-0005-0000-0000-0000921A0000}"/>
    <cellStyle name="Accent6 - 20% 2 3 2 2" xfId="6803" xr:uid="{00000000-0005-0000-0000-0000931A0000}"/>
    <cellStyle name="Accent6 - 20% 2 3 2 2 2" xfId="6804" xr:uid="{00000000-0005-0000-0000-0000941A0000}"/>
    <cellStyle name="Accent6 - 20% 2 3 2 3" xfId="6805" xr:uid="{00000000-0005-0000-0000-0000951A0000}"/>
    <cellStyle name="Accent6 - 20% 2 3 3" xfId="6806" xr:uid="{00000000-0005-0000-0000-0000961A0000}"/>
    <cellStyle name="Accent6 - 20% 2 3 3 2" xfId="6807" xr:uid="{00000000-0005-0000-0000-0000971A0000}"/>
    <cellStyle name="Accent6 - 20% 2 3 4" xfId="6808" xr:uid="{00000000-0005-0000-0000-0000981A0000}"/>
    <cellStyle name="Accent6 - 20% 2 4" xfId="6809" xr:uid="{00000000-0005-0000-0000-0000991A0000}"/>
    <cellStyle name="Accent6 - 20% 2 4 2" xfId="6810" xr:uid="{00000000-0005-0000-0000-00009A1A0000}"/>
    <cellStyle name="Accent6 - 20% 2 5" xfId="6811" xr:uid="{00000000-0005-0000-0000-00009B1A0000}"/>
    <cellStyle name="Accent6 - 20% 2 5 2" xfId="6812" xr:uid="{00000000-0005-0000-0000-00009C1A0000}"/>
    <cellStyle name="Accent6 - 20% 2 6" xfId="6813" xr:uid="{00000000-0005-0000-0000-00009D1A0000}"/>
    <cellStyle name="Accent6 - 20% 3" xfId="6814" xr:uid="{00000000-0005-0000-0000-00009E1A0000}"/>
    <cellStyle name="Accent6 - 20% 3 2" xfId="6815" xr:uid="{00000000-0005-0000-0000-00009F1A0000}"/>
    <cellStyle name="Accent6 - 20% 3 2 2" xfId="6816" xr:uid="{00000000-0005-0000-0000-0000A01A0000}"/>
    <cellStyle name="Accent6 - 20% 3 2 2 2" xfId="6817" xr:uid="{00000000-0005-0000-0000-0000A11A0000}"/>
    <cellStyle name="Accent6 - 20% 3 2 3" xfId="6818" xr:uid="{00000000-0005-0000-0000-0000A21A0000}"/>
    <cellStyle name="Accent6 - 20% 3 3" xfId="6819" xr:uid="{00000000-0005-0000-0000-0000A31A0000}"/>
    <cellStyle name="Accent6 - 20% 3 3 2" xfId="6820" xr:uid="{00000000-0005-0000-0000-0000A41A0000}"/>
    <cellStyle name="Accent6 - 20% 3 4" xfId="6821" xr:uid="{00000000-0005-0000-0000-0000A51A0000}"/>
    <cellStyle name="Accent6 - 20% 4" xfId="6822" xr:uid="{00000000-0005-0000-0000-0000A61A0000}"/>
    <cellStyle name="Accent6 - 20% 4 2" xfId="6823" xr:uid="{00000000-0005-0000-0000-0000A71A0000}"/>
    <cellStyle name="Accent6 - 20% 4 2 2" xfId="6824" xr:uid="{00000000-0005-0000-0000-0000A81A0000}"/>
    <cellStyle name="Accent6 - 20% 4 3" xfId="6825" xr:uid="{00000000-0005-0000-0000-0000A91A0000}"/>
    <cellStyle name="Accent6 - 20% 5" xfId="6826" xr:uid="{00000000-0005-0000-0000-0000AA1A0000}"/>
    <cellStyle name="Accent6 - 20% 5 2" xfId="6827" xr:uid="{00000000-0005-0000-0000-0000AB1A0000}"/>
    <cellStyle name="Accent6 - 20% 6" xfId="6828" xr:uid="{00000000-0005-0000-0000-0000AC1A0000}"/>
    <cellStyle name="Accent6 - 20% 6 2" xfId="6829" xr:uid="{00000000-0005-0000-0000-0000AD1A0000}"/>
    <cellStyle name="Accent6 - 20% 7" xfId="6830" xr:uid="{00000000-0005-0000-0000-0000AE1A0000}"/>
    <cellStyle name="Accent6 - 20% 8" xfId="6831" xr:uid="{00000000-0005-0000-0000-0000AF1A0000}"/>
    <cellStyle name="Accent6 - 40%" xfId="6832" xr:uid="{00000000-0005-0000-0000-0000B01A0000}"/>
    <cellStyle name="Accent6 - 40% 10" xfId="6833" xr:uid="{00000000-0005-0000-0000-0000B11A0000}"/>
    <cellStyle name="Accent6 - 40% 11" xfId="6834" xr:uid="{00000000-0005-0000-0000-0000B21A0000}"/>
    <cellStyle name="Accent6 - 40% 2" xfId="6835" xr:uid="{00000000-0005-0000-0000-0000B31A0000}"/>
    <cellStyle name="Accent6 - 40% 2 2" xfId="6836" xr:uid="{00000000-0005-0000-0000-0000B41A0000}"/>
    <cellStyle name="Accent6 - 40% 2 2 2" xfId="6837" xr:uid="{00000000-0005-0000-0000-0000B51A0000}"/>
    <cellStyle name="Accent6 - 40% 2 2 2 2" xfId="6838" xr:uid="{00000000-0005-0000-0000-0000B61A0000}"/>
    <cellStyle name="Accent6 - 40% 2 2 3" xfId="6839" xr:uid="{00000000-0005-0000-0000-0000B71A0000}"/>
    <cellStyle name="Accent6 - 40% 2 3" xfId="6840" xr:uid="{00000000-0005-0000-0000-0000B81A0000}"/>
    <cellStyle name="Accent6 - 40% 2 3 2" xfId="6841" xr:uid="{00000000-0005-0000-0000-0000B91A0000}"/>
    <cellStyle name="Accent6 - 40% 2 3 2 2" xfId="6842" xr:uid="{00000000-0005-0000-0000-0000BA1A0000}"/>
    <cellStyle name="Accent6 - 40% 2 3 2 2 2" xfId="6843" xr:uid="{00000000-0005-0000-0000-0000BB1A0000}"/>
    <cellStyle name="Accent6 - 40% 2 3 2 3" xfId="6844" xr:uid="{00000000-0005-0000-0000-0000BC1A0000}"/>
    <cellStyle name="Accent6 - 40% 2 3 3" xfId="6845" xr:uid="{00000000-0005-0000-0000-0000BD1A0000}"/>
    <cellStyle name="Accent6 - 40% 2 3 3 2" xfId="6846" xr:uid="{00000000-0005-0000-0000-0000BE1A0000}"/>
    <cellStyle name="Accent6 - 40% 2 3 4" xfId="6847" xr:uid="{00000000-0005-0000-0000-0000BF1A0000}"/>
    <cellStyle name="Accent6 - 40% 2 4" xfId="6848" xr:uid="{00000000-0005-0000-0000-0000C01A0000}"/>
    <cellStyle name="Accent6 - 40% 2 4 2" xfId="6849" xr:uid="{00000000-0005-0000-0000-0000C11A0000}"/>
    <cellStyle name="Accent6 - 40% 2 4 2 2" xfId="6850" xr:uid="{00000000-0005-0000-0000-0000C21A0000}"/>
    <cellStyle name="Accent6 - 40% 2 4 2 2 2" xfId="6851" xr:uid="{00000000-0005-0000-0000-0000C31A0000}"/>
    <cellStyle name="Accent6 - 40% 2 4 2 3" xfId="6852" xr:uid="{00000000-0005-0000-0000-0000C41A0000}"/>
    <cellStyle name="Accent6 - 40% 2 4 3" xfId="6853" xr:uid="{00000000-0005-0000-0000-0000C51A0000}"/>
    <cellStyle name="Accent6 - 40% 2 4 3 2" xfId="6854" xr:uid="{00000000-0005-0000-0000-0000C61A0000}"/>
    <cellStyle name="Accent6 - 40% 2 4 4" xfId="6855" xr:uid="{00000000-0005-0000-0000-0000C71A0000}"/>
    <cellStyle name="Accent6 - 40% 2 5" xfId="6856" xr:uid="{00000000-0005-0000-0000-0000C81A0000}"/>
    <cellStyle name="Accent6 - 40% 2 5 2" xfId="6857" xr:uid="{00000000-0005-0000-0000-0000C91A0000}"/>
    <cellStyle name="Accent6 - 40% 2 6" xfId="6858" xr:uid="{00000000-0005-0000-0000-0000CA1A0000}"/>
    <cellStyle name="Accent6 - 40% 2 6 2" xfId="6859" xr:uid="{00000000-0005-0000-0000-0000CB1A0000}"/>
    <cellStyle name="Accent6 - 40% 2 7" xfId="6860" xr:uid="{00000000-0005-0000-0000-0000CC1A0000}"/>
    <cellStyle name="Accent6 - 40% 3" xfId="6861" xr:uid="{00000000-0005-0000-0000-0000CD1A0000}"/>
    <cellStyle name="Accent6 - 40% 3 2" xfId="6862" xr:uid="{00000000-0005-0000-0000-0000CE1A0000}"/>
    <cellStyle name="Accent6 - 40% 3 2 2" xfId="6863" xr:uid="{00000000-0005-0000-0000-0000CF1A0000}"/>
    <cellStyle name="Accent6 - 40% 3 2 2 2" xfId="6864" xr:uid="{00000000-0005-0000-0000-0000D01A0000}"/>
    <cellStyle name="Accent6 - 40% 3 2 3" xfId="6865" xr:uid="{00000000-0005-0000-0000-0000D11A0000}"/>
    <cellStyle name="Accent6 - 40% 3 3" xfId="6866" xr:uid="{00000000-0005-0000-0000-0000D21A0000}"/>
    <cellStyle name="Accent6 - 40% 3 3 2" xfId="6867" xr:uid="{00000000-0005-0000-0000-0000D31A0000}"/>
    <cellStyle name="Accent6 - 40% 3 4" xfId="6868" xr:uid="{00000000-0005-0000-0000-0000D41A0000}"/>
    <cellStyle name="Accent6 - 40% 4" xfId="6869" xr:uid="{00000000-0005-0000-0000-0000D51A0000}"/>
    <cellStyle name="Accent6 - 40% 4 2" xfId="6870" xr:uid="{00000000-0005-0000-0000-0000D61A0000}"/>
    <cellStyle name="Accent6 - 40% 4 2 2" xfId="6871" xr:uid="{00000000-0005-0000-0000-0000D71A0000}"/>
    <cellStyle name="Accent6 - 40% 4 3" xfId="6872" xr:uid="{00000000-0005-0000-0000-0000D81A0000}"/>
    <cellStyle name="Accent6 - 40% 5" xfId="6873" xr:uid="{00000000-0005-0000-0000-0000D91A0000}"/>
    <cellStyle name="Accent6 - 40% 5 2" xfId="6874" xr:uid="{00000000-0005-0000-0000-0000DA1A0000}"/>
    <cellStyle name="Accent6 - 40% 5 2 2" xfId="6875" xr:uid="{00000000-0005-0000-0000-0000DB1A0000}"/>
    <cellStyle name="Accent6 - 40% 5 3" xfId="6876" xr:uid="{00000000-0005-0000-0000-0000DC1A0000}"/>
    <cellStyle name="Accent6 - 40% 6" xfId="6877" xr:uid="{00000000-0005-0000-0000-0000DD1A0000}"/>
    <cellStyle name="Accent6 - 40% 6 2" xfId="6878" xr:uid="{00000000-0005-0000-0000-0000DE1A0000}"/>
    <cellStyle name="Accent6 - 40% 7" xfId="6879" xr:uid="{00000000-0005-0000-0000-0000DF1A0000}"/>
    <cellStyle name="Accent6 - 40% 7 2" xfId="6880" xr:uid="{00000000-0005-0000-0000-0000E01A0000}"/>
    <cellStyle name="Accent6 - 40% 8" xfId="6881" xr:uid="{00000000-0005-0000-0000-0000E11A0000}"/>
    <cellStyle name="Accent6 - 40% 8 2" xfId="6882" xr:uid="{00000000-0005-0000-0000-0000E21A0000}"/>
    <cellStyle name="Accent6 - 40% 9" xfId="6883" xr:uid="{00000000-0005-0000-0000-0000E31A0000}"/>
    <cellStyle name="Accent6 - 40% 9 2" xfId="6884" xr:uid="{00000000-0005-0000-0000-0000E41A0000}"/>
    <cellStyle name="Accent6 - 60%" xfId="6885" xr:uid="{00000000-0005-0000-0000-0000E51A0000}"/>
    <cellStyle name="Accent6 - 60% 10" xfId="6886" xr:uid="{00000000-0005-0000-0000-0000E61A0000}"/>
    <cellStyle name="Accent6 - 60% 2" xfId="6887" xr:uid="{00000000-0005-0000-0000-0000E71A0000}"/>
    <cellStyle name="Accent6 - 60% 2 2" xfId="6888" xr:uid="{00000000-0005-0000-0000-0000E81A0000}"/>
    <cellStyle name="Accent6 - 60% 2 2 2" xfId="6889" xr:uid="{00000000-0005-0000-0000-0000E91A0000}"/>
    <cellStyle name="Accent6 - 60% 2 3" xfId="6890" xr:uid="{00000000-0005-0000-0000-0000EA1A0000}"/>
    <cellStyle name="Accent6 - 60% 2 3 2" xfId="6891" xr:uid="{00000000-0005-0000-0000-0000EB1A0000}"/>
    <cellStyle name="Accent6 - 60% 2 3 2 2" xfId="6892" xr:uid="{00000000-0005-0000-0000-0000EC1A0000}"/>
    <cellStyle name="Accent6 - 60% 2 3 3" xfId="6893" xr:uid="{00000000-0005-0000-0000-0000ED1A0000}"/>
    <cellStyle name="Accent6 - 60% 2 4" xfId="6894" xr:uid="{00000000-0005-0000-0000-0000EE1A0000}"/>
    <cellStyle name="Accent6 - 60% 2 4 2" xfId="6895" xr:uid="{00000000-0005-0000-0000-0000EF1A0000}"/>
    <cellStyle name="Accent6 - 60% 2 4 2 2" xfId="6896" xr:uid="{00000000-0005-0000-0000-0000F01A0000}"/>
    <cellStyle name="Accent6 - 60% 2 4 3" xfId="6897" xr:uid="{00000000-0005-0000-0000-0000F11A0000}"/>
    <cellStyle name="Accent6 - 60% 2 5" xfId="6898" xr:uid="{00000000-0005-0000-0000-0000F21A0000}"/>
    <cellStyle name="Accent6 - 60% 3" xfId="6899" xr:uid="{00000000-0005-0000-0000-0000F31A0000}"/>
    <cellStyle name="Accent6 - 60% 3 2" xfId="6900" xr:uid="{00000000-0005-0000-0000-0000F41A0000}"/>
    <cellStyle name="Accent6 - 60% 3 2 2" xfId="6901" xr:uid="{00000000-0005-0000-0000-0000F51A0000}"/>
    <cellStyle name="Accent6 - 60% 3 3" xfId="6902" xr:uid="{00000000-0005-0000-0000-0000F61A0000}"/>
    <cellStyle name="Accent6 - 60% 4" xfId="6903" xr:uid="{00000000-0005-0000-0000-0000F71A0000}"/>
    <cellStyle name="Accent6 - 60% 4 2" xfId="6904" xr:uid="{00000000-0005-0000-0000-0000F81A0000}"/>
    <cellStyle name="Accent6 - 60% 5" xfId="6905" xr:uid="{00000000-0005-0000-0000-0000F91A0000}"/>
    <cellStyle name="Accent6 - 60% 5 2" xfId="6906" xr:uid="{00000000-0005-0000-0000-0000FA1A0000}"/>
    <cellStyle name="Accent6 - 60% 6" xfId="6907" xr:uid="{00000000-0005-0000-0000-0000FB1A0000}"/>
    <cellStyle name="Accent6 - 60% 6 2" xfId="6908" xr:uid="{00000000-0005-0000-0000-0000FC1A0000}"/>
    <cellStyle name="Accent6 - 60% 6 2 2" xfId="6909" xr:uid="{00000000-0005-0000-0000-0000FD1A0000}"/>
    <cellStyle name="Accent6 - 60% 6 3" xfId="6910" xr:uid="{00000000-0005-0000-0000-0000FE1A0000}"/>
    <cellStyle name="Accent6 - 60% 7" xfId="6911" xr:uid="{00000000-0005-0000-0000-0000FF1A0000}"/>
    <cellStyle name="Accent6 - 60% 7 2" xfId="6912" xr:uid="{00000000-0005-0000-0000-0000001B0000}"/>
    <cellStyle name="Accent6 - 60% 8" xfId="6913" xr:uid="{00000000-0005-0000-0000-0000011B0000}"/>
    <cellStyle name="Accent6 - 60% 8 2" xfId="6914" xr:uid="{00000000-0005-0000-0000-0000021B0000}"/>
    <cellStyle name="Accent6 - 60% 9" xfId="6915" xr:uid="{00000000-0005-0000-0000-0000031B0000}"/>
    <cellStyle name="Accent6 10" xfId="6916" xr:uid="{00000000-0005-0000-0000-0000041B0000}"/>
    <cellStyle name="Accent6 10 2" xfId="6917" xr:uid="{00000000-0005-0000-0000-0000051B0000}"/>
    <cellStyle name="Accent6 10 2 2" xfId="6918" xr:uid="{00000000-0005-0000-0000-0000061B0000}"/>
    <cellStyle name="Accent6 10 3" xfId="6919" xr:uid="{00000000-0005-0000-0000-0000071B0000}"/>
    <cellStyle name="Accent6 100" xfId="6920" xr:uid="{00000000-0005-0000-0000-0000081B0000}"/>
    <cellStyle name="Accent6 100 2" xfId="6921" xr:uid="{00000000-0005-0000-0000-0000091B0000}"/>
    <cellStyle name="Accent6 100 2 2" xfId="6922" xr:uid="{00000000-0005-0000-0000-00000A1B0000}"/>
    <cellStyle name="Accent6 100 3" xfId="6923" xr:uid="{00000000-0005-0000-0000-00000B1B0000}"/>
    <cellStyle name="Accent6 101" xfId="6924" xr:uid="{00000000-0005-0000-0000-00000C1B0000}"/>
    <cellStyle name="Accent6 101 2" xfId="6925" xr:uid="{00000000-0005-0000-0000-00000D1B0000}"/>
    <cellStyle name="Accent6 101 2 2" xfId="6926" xr:uid="{00000000-0005-0000-0000-00000E1B0000}"/>
    <cellStyle name="Accent6 101 3" xfId="6927" xr:uid="{00000000-0005-0000-0000-00000F1B0000}"/>
    <cellStyle name="Accent6 102" xfId="6928" xr:uid="{00000000-0005-0000-0000-0000101B0000}"/>
    <cellStyle name="Accent6 102 2" xfId="6929" xr:uid="{00000000-0005-0000-0000-0000111B0000}"/>
    <cellStyle name="Accent6 103" xfId="6930" xr:uid="{00000000-0005-0000-0000-0000121B0000}"/>
    <cellStyle name="Accent6 103 2" xfId="6931" xr:uid="{00000000-0005-0000-0000-0000131B0000}"/>
    <cellStyle name="Accent6 104" xfId="6932" xr:uid="{00000000-0005-0000-0000-0000141B0000}"/>
    <cellStyle name="Accent6 104 2" xfId="6933" xr:uid="{00000000-0005-0000-0000-0000151B0000}"/>
    <cellStyle name="Accent6 104 2 2" xfId="6934" xr:uid="{00000000-0005-0000-0000-0000161B0000}"/>
    <cellStyle name="Accent6 104 3" xfId="6935" xr:uid="{00000000-0005-0000-0000-0000171B0000}"/>
    <cellStyle name="Accent6 105" xfId="6936" xr:uid="{00000000-0005-0000-0000-0000181B0000}"/>
    <cellStyle name="Accent6 105 2" xfId="6937" xr:uid="{00000000-0005-0000-0000-0000191B0000}"/>
    <cellStyle name="Accent6 105 2 2" xfId="6938" xr:uid="{00000000-0005-0000-0000-00001A1B0000}"/>
    <cellStyle name="Accent6 105 3" xfId="6939" xr:uid="{00000000-0005-0000-0000-00001B1B0000}"/>
    <cellStyle name="Accent6 106" xfId="6940" xr:uid="{00000000-0005-0000-0000-00001C1B0000}"/>
    <cellStyle name="Accent6 106 2" xfId="6941" xr:uid="{00000000-0005-0000-0000-00001D1B0000}"/>
    <cellStyle name="Accent6 106 2 2" xfId="6942" xr:uid="{00000000-0005-0000-0000-00001E1B0000}"/>
    <cellStyle name="Accent6 106 3" xfId="6943" xr:uid="{00000000-0005-0000-0000-00001F1B0000}"/>
    <cellStyle name="Accent6 107" xfId="6944" xr:uid="{00000000-0005-0000-0000-0000201B0000}"/>
    <cellStyle name="Accent6 107 2" xfId="6945" xr:uid="{00000000-0005-0000-0000-0000211B0000}"/>
    <cellStyle name="Accent6 107 2 2" xfId="6946" xr:uid="{00000000-0005-0000-0000-0000221B0000}"/>
    <cellStyle name="Accent6 107 3" xfId="6947" xr:uid="{00000000-0005-0000-0000-0000231B0000}"/>
    <cellStyle name="Accent6 108" xfId="6948" xr:uid="{00000000-0005-0000-0000-0000241B0000}"/>
    <cellStyle name="Accent6 108 2" xfId="6949" xr:uid="{00000000-0005-0000-0000-0000251B0000}"/>
    <cellStyle name="Accent6 108 2 2" xfId="6950" xr:uid="{00000000-0005-0000-0000-0000261B0000}"/>
    <cellStyle name="Accent6 108 3" xfId="6951" xr:uid="{00000000-0005-0000-0000-0000271B0000}"/>
    <cellStyle name="Accent6 109" xfId="6952" xr:uid="{00000000-0005-0000-0000-0000281B0000}"/>
    <cellStyle name="Accent6 109 2" xfId="6953" xr:uid="{00000000-0005-0000-0000-0000291B0000}"/>
    <cellStyle name="Accent6 109 2 2" xfId="6954" xr:uid="{00000000-0005-0000-0000-00002A1B0000}"/>
    <cellStyle name="Accent6 109 3" xfId="6955" xr:uid="{00000000-0005-0000-0000-00002B1B0000}"/>
    <cellStyle name="Accent6 11" xfId="6956" xr:uid="{00000000-0005-0000-0000-00002C1B0000}"/>
    <cellStyle name="Accent6 11 2" xfId="6957" xr:uid="{00000000-0005-0000-0000-00002D1B0000}"/>
    <cellStyle name="Accent6 11 2 2" xfId="6958" xr:uid="{00000000-0005-0000-0000-00002E1B0000}"/>
    <cellStyle name="Accent6 11 3" xfId="6959" xr:uid="{00000000-0005-0000-0000-00002F1B0000}"/>
    <cellStyle name="Accent6 110" xfId="6960" xr:uid="{00000000-0005-0000-0000-0000301B0000}"/>
    <cellStyle name="Accent6 110 2" xfId="6961" xr:uid="{00000000-0005-0000-0000-0000311B0000}"/>
    <cellStyle name="Accent6 110 2 2" xfId="6962" xr:uid="{00000000-0005-0000-0000-0000321B0000}"/>
    <cellStyle name="Accent6 110 3" xfId="6963" xr:uid="{00000000-0005-0000-0000-0000331B0000}"/>
    <cellStyle name="Accent6 111" xfId="6964" xr:uid="{00000000-0005-0000-0000-0000341B0000}"/>
    <cellStyle name="Accent6 111 2" xfId="6965" xr:uid="{00000000-0005-0000-0000-0000351B0000}"/>
    <cellStyle name="Accent6 111 2 2" xfId="6966" xr:uid="{00000000-0005-0000-0000-0000361B0000}"/>
    <cellStyle name="Accent6 111 3" xfId="6967" xr:uid="{00000000-0005-0000-0000-0000371B0000}"/>
    <cellStyle name="Accent6 112" xfId="6968" xr:uid="{00000000-0005-0000-0000-0000381B0000}"/>
    <cellStyle name="Accent6 112 2" xfId="6969" xr:uid="{00000000-0005-0000-0000-0000391B0000}"/>
    <cellStyle name="Accent6 112 2 2" xfId="6970" xr:uid="{00000000-0005-0000-0000-00003A1B0000}"/>
    <cellStyle name="Accent6 112 3" xfId="6971" xr:uid="{00000000-0005-0000-0000-00003B1B0000}"/>
    <cellStyle name="Accent6 113" xfId="6972" xr:uid="{00000000-0005-0000-0000-00003C1B0000}"/>
    <cellStyle name="Accent6 113 2" xfId="6973" xr:uid="{00000000-0005-0000-0000-00003D1B0000}"/>
    <cellStyle name="Accent6 113 2 2" xfId="6974" xr:uid="{00000000-0005-0000-0000-00003E1B0000}"/>
    <cellStyle name="Accent6 113 3" xfId="6975" xr:uid="{00000000-0005-0000-0000-00003F1B0000}"/>
    <cellStyle name="Accent6 114" xfId="6976" xr:uid="{00000000-0005-0000-0000-0000401B0000}"/>
    <cellStyle name="Accent6 114 2" xfId="6977" xr:uid="{00000000-0005-0000-0000-0000411B0000}"/>
    <cellStyle name="Accent6 115" xfId="6978" xr:uid="{00000000-0005-0000-0000-0000421B0000}"/>
    <cellStyle name="Accent6 115 2" xfId="6979" xr:uid="{00000000-0005-0000-0000-0000431B0000}"/>
    <cellStyle name="Accent6 116" xfId="6980" xr:uid="{00000000-0005-0000-0000-0000441B0000}"/>
    <cellStyle name="Accent6 116 2" xfId="6981" xr:uid="{00000000-0005-0000-0000-0000451B0000}"/>
    <cellStyle name="Accent6 117" xfId="6982" xr:uid="{00000000-0005-0000-0000-0000461B0000}"/>
    <cellStyle name="Accent6 117 2" xfId="6983" xr:uid="{00000000-0005-0000-0000-0000471B0000}"/>
    <cellStyle name="Accent6 118" xfId="6984" xr:uid="{00000000-0005-0000-0000-0000481B0000}"/>
    <cellStyle name="Accent6 118 2" xfId="6985" xr:uid="{00000000-0005-0000-0000-0000491B0000}"/>
    <cellStyle name="Accent6 119" xfId="6986" xr:uid="{00000000-0005-0000-0000-00004A1B0000}"/>
    <cellStyle name="Accent6 119 2" xfId="6987" xr:uid="{00000000-0005-0000-0000-00004B1B0000}"/>
    <cellStyle name="Accent6 12" xfId="6988" xr:uid="{00000000-0005-0000-0000-00004C1B0000}"/>
    <cellStyle name="Accent6 12 2" xfId="6989" xr:uid="{00000000-0005-0000-0000-00004D1B0000}"/>
    <cellStyle name="Accent6 12 2 2" xfId="6990" xr:uid="{00000000-0005-0000-0000-00004E1B0000}"/>
    <cellStyle name="Accent6 12 3" xfId="6991" xr:uid="{00000000-0005-0000-0000-00004F1B0000}"/>
    <cellStyle name="Accent6 120" xfId="6992" xr:uid="{00000000-0005-0000-0000-0000501B0000}"/>
    <cellStyle name="Accent6 120 2" xfId="6993" xr:uid="{00000000-0005-0000-0000-0000511B0000}"/>
    <cellStyle name="Accent6 121" xfId="6994" xr:uid="{00000000-0005-0000-0000-0000521B0000}"/>
    <cellStyle name="Accent6 121 2" xfId="6995" xr:uid="{00000000-0005-0000-0000-0000531B0000}"/>
    <cellStyle name="Accent6 122" xfId="6996" xr:uid="{00000000-0005-0000-0000-0000541B0000}"/>
    <cellStyle name="Accent6 122 2" xfId="6997" xr:uid="{00000000-0005-0000-0000-0000551B0000}"/>
    <cellStyle name="Accent6 123" xfId="6998" xr:uid="{00000000-0005-0000-0000-0000561B0000}"/>
    <cellStyle name="Accent6 123 2" xfId="6999" xr:uid="{00000000-0005-0000-0000-0000571B0000}"/>
    <cellStyle name="Accent6 124" xfId="7000" xr:uid="{00000000-0005-0000-0000-0000581B0000}"/>
    <cellStyle name="Accent6 124 2" xfId="7001" xr:uid="{00000000-0005-0000-0000-0000591B0000}"/>
    <cellStyle name="Accent6 125" xfId="7002" xr:uid="{00000000-0005-0000-0000-00005A1B0000}"/>
    <cellStyle name="Accent6 125 2" xfId="7003" xr:uid="{00000000-0005-0000-0000-00005B1B0000}"/>
    <cellStyle name="Accent6 126" xfId="7004" xr:uid="{00000000-0005-0000-0000-00005C1B0000}"/>
    <cellStyle name="Accent6 127" xfId="7005" xr:uid="{00000000-0005-0000-0000-00005D1B0000}"/>
    <cellStyle name="Accent6 128" xfId="7006" xr:uid="{00000000-0005-0000-0000-00005E1B0000}"/>
    <cellStyle name="Accent6 129" xfId="7007" xr:uid="{00000000-0005-0000-0000-00005F1B0000}"/>
    <cellStyle name="Accent6 13" xfId="7008" xr:uid="{00000000-0005-0000-0000-0000601B0000}"/>
    <cellStyle name="Accent6 13 2" xfId="7009" xr:uid="{00000000-0005-0000-0000-0000611B0000}"/>
    <cellStyle name="Accent6 13 2 2" xfId="7010" xr:uid="{00000000-0005-0000-0000-0000621B0000}"/>
    <cellStyle name="Accent6 13 3" xfId="7011" xr:uid="{00000000-0005-0000-0000-0000631B0000}"/>
    <cellStyle name="Accent6 130" xfId="7012" xr:uid="{00000000-0005-0000-0000-0000641B0000}"/>
    <cellStyle name="Accent6 131" xfId="7013" xr:uid="{00000000-0005-0000-0000-0000651B0000}"/>
    <cellStyle name="Accent6 132" xfId="7014" xr:uid="{00000000-0005-0000-0000-0000661B0000}"/>
    <cellStyle name="Accent6 133" xfId="7015" xr:uid="{00000000-0005-0000-0000-0000671B0000}"/>
    <cellStyle name="Accent6 134" xfId="7016" xr:uid="{00000000-0005-0000-0000-0000681B0000}"/>
    <cellStyle name="Accent6 135" xfId="7017" xr:uid="{00000000-0005-0000-0000-0000691B0000}"/>
    <cellStyle name="Accent6 136" xfId="7018" xr:uid="{00000000-0005-0000-0000-00006A1B0000}"/>
    <cellStyle name="Accent6 137" xfId="7019" xr:uid="{00000000-0005-0000-0000-00006B1B0000}"/>
    <cellStyle name="Accent6 138" xfId="7020" xr:uid="{00000000-0005-0000-0000-00006C1B0000}"/>
    <cellStyle name="Accent6 139" xfId="7021" xr:uid="{00000000-0005-0000-0000-00006D1B0000}"/>
    <cellStyle name="Accent6 14" xfId="7022" xr:uid="{00000000-0005-0000-0000-00006E1B0000}"/>
    <cellStyle name="Accent6 14 2" xfId="7023" xr:uid="{00000000-0005-0000-0000-00006F1B0000}"/>
    <cellStyle name="Accent6 14 2 2" xfId="7024" xr:uid="{00000000-0005-0000-0000-0000701B0000}"/>
    <cellStyle name="Accent6 14 3" xfId="7025" xr:uid="{00000000-0005-0000-0000-0000711B0000}"/>
    <cellStyle name="Accent6 140" xfId="7026" xr:uid="{00000000-0005-0000-0000-0000721B0000}"/>
    <cellStyle name="Accent6 141" xfId="7027" xr:uid="{00000000-0005-0000-0000-0000731B0000}"/>
    <cellStyle name="Accent6 142" xfId="7028" xr:uid="{00000000-0005-0000-0000-0000741B0000}"/>
    <cellStyle name="Accent6 143" xfId="7029" xr:uid="{00000000-0005-0000-0000-0000751B0000}"/>
    <cellStyle name="Accent6 144" xfId="7030" xr:uid="{00000000-0005-0000-0000-0000761B0000}"/>
    <cellStyle name="Accent6 145" xfId="7031" xr:uid="{00000000-0005-0000-0000-0000771B0000}"/>
    <cellStyle name="Accent6 146" xfId="7032" xr:uid="{00000000-0005-0000-0000-0000781B0000}"/>
    <cellStyle name="Accent6 147" xfId="7033" xr:uid="{00000000-0005-0000-0000-0000791B0000}"/>
    <cellStyle name="Accent6 148" xfId="7034" xr:uid="{00000000-0005-0000-0000-00007A1B0000}"/>
    <cellStyle name="Accent6 149" xfId="7035" xr:uid="{00000000-0005-0000-0000-00007B1B0000}"/>
    <cellStyle name="Accent6 15" xfId="7036" xr:uid="{00000000-0005-0000-0000-00007C1B0000}"/>
    <cellStyle name="Accent6 15 2" xfId="7037" xr:uid="{00000000-0005-0000-0000-00007D1B0000}"/>
    <cellStyle name="Accent6 15 2 2" xfId="7038" xr:uid="{00000000-0005-0000-0000-00007E1B0000}"/>
    <cellStyle name="Accent6 15 3" xfId="7039" xr:uid="{00000000-0005-0000-0000-00007F1B0000}"/>
    <cellStyle name="Accent6 150" xfId="7040" xr:uid="{00000000-0005-0000-0000-0000801B0000}"/>
    <cellStyle name="Accent6 151" xfId="7041" xr:uid="{00000000-0005-0000-0000-0000811B0000}"/>
    <cellStyle name="Accent6 152" xfId="7042" xr:uid="{00000000-0005-0000-0000-0000821B0000}"/>
    <cellStyle name="Accent6 153" xfId="7043" xr:uid="{00000000-0005-0000-0000-0000831B0000}"/>
    <cellStyle name="Accent6 154" xfId="7044" xr:uid="{00000000-0005-0000-0000-0000841B0000}"/>
    <cellStyle name="Accent6 155" xfId="7045" xr:uid="{00000000-0005-0000-0000-0000851B0000}"/>
    <cellStyle name="Accent6 156" xfId="7046" xr:uid="{00000000-0005-0000-0000-0000861B0000}"/>
    <cellStyle name="Accent6 157" xfId="7047" xr:uid="{00000000-0005-0000-0000-0000871B0000}"/>
    <cellStyle name="Accent6 158" xfId="7048" xr:uid="{00000000-0005-0000-0000-0000881B0000}"/>
    <cellStyle name="Accent6 159" xfId="7049" xr:uid="{00000000-0005-0000-0000-0000891B0000}"/>
    <cellStyle name="Accent6 16" xfId="7050" xr:uid="{00000000-0005-0000-0000-00008A1B0000}"/>
    <cellStyle name="Accent6 16 2" xfId="7051" xr:uid="{00000000-0005-0000-0000-00008B1B0000}"/>
    <cellStyle name="Accent6 16 2 2" xfId="7052" xr:uid="{00000000-0005-0000-0000-00008C1B0000}"/>
    <cellStyle name="Accent6 16 3" xfId="7053" xr:uid="{00000000-0005-0000-0000-00008D1B0000}"/>
    <cellStyle name="Accent6 160" xfId="7054" xr:uid="{00000000-0005-0000-0000-00008E1B0000}"/>
    <cellStyle name="Accent6 161" xfId="7055" xr:uid="{00000000-0005-0000-0000-00008F1B0000}"/>
    <cellStyle name="Accent6 162" xfId="7056" xr:uid="{00000000-0005-0000-0000-0000901B0000}"/>
    <cellStyle name="Accent6 163" xfId="7057" xr:uid="{00000000-0005-0000-0000-0000911B0000}"/>
    <cellStyle name="Accent6 164" xfId="7058" xr:uid="{00000000-0005-0000-0000-0000921B0000}"/>
    <cellStyle name="Accent6 165" xfId="7059" xr:uid="{00000000-0005-0000-0000-0000931B0000}"/>
    <cellStyle name="Accent6 166" xfId="7060" xr:uid="{00000000-0005-0000-0000-0000941B0000}"/>
    <cellStyle name="Accent6 167" xfId="7061" xr:uid="{00000000-0005-0000-0000-0000951B0000}"/>
    <cellStyle name="Accent6 168" xfId="7062" xr:uid="{00000000-0005-0000-0000-0000961B0000}"/>
    <cellStyle name="Accent6 169" xfId="7063" xr:uid="{00000000-0005-0000-0000-0000971B0000}"/>
    <cellStyle name="Accent6 17" xfId="7064" xr:uid="{00000000-0005-0000-0000-0000981B0000}"/>
    <cellStyle name="Accent6 17 2" xfId="7065" xr:uid="{00000000-0005-0000-0000-0000991B0000}"/>
    <cellStyle name="Accent6 17 2 2" xfId="7066" xr:uid="{00000000-0005-0000-0000-00009A1B0000}"/>
    <cellStyle name="Accent6 17 3" xfId="7067" xr:uid="{00000000-0005-0000-0000-00009B1B0000}"/>
    <cellStyle name="Accent6 170" xfId="7068" xr:uid="{00000000-0005-0000-0000-00009C1B0000}"/>
    <cellStyle name="Accent6 171" xfId="7069" xr:uid="{00000000-0005-0000-0000-00009D1B0000}"/>
    <cellStyle name="Accent6 172" xfId="7070" xr:uid="{00000000-0005-0000-0000-00009E1B0000}"/>
    <cellStyle name="Accent6 173" xfId="7071" xr:uid="{00000000-0005-0000-0000-00009F1B0000}"/>
    <cellStyle name="Accent6 174" xfId="7072" xr:uid="{00000000-0005-0000-0000-0000A01B0000}"/>
    <cellStyle name="Accent6 175" xfId="7073" xr:uid="{00000000-0005-0000-0000-0000A11B0000}"/>
    <cellStyle name="Accent6 176" xfId="7074" xr:uid="{00000000-0005-0000-0000-0000A21B0000}"/>
    <cellStyle name="Accent6 177" xfId="7075" xr:uid="{00000000-0005-0000-0000-0000A31B0000}"/>
    <cellStyle name="Accent6 178" xfId="7076" xr:uid="{00000000-0005-0000-0000-0000A41B0000}"/>
    <cellStyle name="Accent6 179" xfId="7077" xr:uid="{00000000-0005-0000-0000-0000A51B0000}"/>
    <cellStyle name="Accent6 18" xfId="7078" xr:uid="{00000000-0005-0000-0000-0000A61B0000}"/>
    <cellStyle name="Accent6 18 2" xfId="7079" xr:uid="{00000000-0005-0000-0000-0000A71B0000}"/>
    <cellStyle name="Accent6 18 2 2" xfId="7080" xr:uid="{00000000-0005-0000-0000-0000A81B0000}"/>
    <cellStyle name="Accent6 18 3" xfId="7081" xr:uid="{00000000-0005-0000-0000-0000A91B0000}"/>
    <cellStyle name="Accent6 19" xfId="7082" xr:uid="{00000000-0005-0000-0000-0000AA1B0000}"/>
    <cellStyle name="Accent6 19 2" xfId="7083" xr:uid="{00000000-0005-0000-0000-0000AB1B0000}"/>
    <cellStyle name="Accent6 19 2 2" xfId="7084" xr:uid="{00000000-0005-0000-0000-0000AC1B0000}"/>
    <cellStyle name="Accent6 19 3" xfId="7085" xr:uid="{00000000-0005-0000-0000-0000AD1B0000}"/>
    <cellStyle name="Accent6 2" xfId="7086" xr:uid="{00000000-0005-0000-0000-0000AE1B0000}"/>
    <cellStyle name="Accent6 2 10" xfId="7087" xr:uid="{00000000-0005-0000-0000-0000AF1B0000}"/>
    <cellStyle name="Accent6 2 10 2" xfId="7088" xr:uid="{00000000-0005-0000-0000-0000B01B0000}"/>
    <cellStyle name="Accent6 2 11" xfId="7089" xr:uid="{00000000-0005-0000-0000-0000B11B0000}"/>
    <cellStyle name="Accent6 2 12" xfId="7090" xr:uid="{00000000-0005-0000-0000-0000B21B0000}"/>
    <cellStyle name="Accent6 2 2" xfId="7091" xr:uid="{00000000-0005-0000-0000-0000B31B0000}"/>
    <cellStyle name="Accent6 2 2 2" xfId="7092" xr:uid="{00000000-0005-0000-0000-0000B41B0000}"/>
    <cellStyle name="Accent6 2 2 2 2" xfId="7093" xr:uid="{00000000-0005-0000-0000-0000B51B0000}"/>
    <cellStyle name="Accent6 2 2 3" xfId="7094" xr:uid="{00000000-0005-0000-0000-0000B61B0000}"/>
    <cellStyle name="Accent6 2 2 3 2" xfId="7095" xr:uid="{00000000-0005-0000-0000-0000B71B0000}"/>
    <cellStyle name="Accent6 2 2 3 2 2" xfId="7096" xr:uid="{00000000-0005-0000-0000-0000B81B0000}"/>
    <cellStyle name="Accent6 2 2 3 3" xfId="7097" xr:uid="{00000000-0005-0000-0000-0000B91B0000}"/>
    <cellStyle name="Accent6 2 2 4" xfId="7098" xr:uid="{00000000-0005-0000-0000-0000BA1B0000}"/>
    <cellStyle name="Accent6 2 3" xfId="7099" xr:uid="{00000000-0005-0000-0000-0000BB1B0000}"/>
    <cellStyle name="Accent6 2 3 2" xfId="7100" xr:uid="{00000000-0005-0000-0000-0000BC1B0000}"/>
    <cellStyle name="Accent6 2 3 2 2" xfId="7101" xr:uid="{00000000-0005-0000-0000-0000BD1B0000}"/>
    <cellStyle name="Accent6 2 3 3" xfId="7102" xr:uid="{00000000-0005-0000-0000-0000BE1B0000}"/>
    <cellStyle name="Accent6 2 3 3 2" xfId="7103" xr:uid="{00000000-0005-0000-0000-0000BF1B0000}"/>
    <cellStyle name="Accent6 2 3 3 2 2" xfId="7104" xr:uid="{00000000-0005-0000-0000-0000C01B0000}"/>
    <cellStyle name="Accent6 2 3 3 3" xfId="7105" xr:uid="{00000000-0005-0000-0000-0000C11B0000}"/>
    <cellStyle name="Accent6 2 3 4" xfId="7106" xr:uid="{00000000-0005-0000-0000-0000C21B0000}"/>
    <cellStyle name="Accent6 2 4" xfId="7107" xr:uid="{00000000-0005-0000-0000-0000C31B0000}"/>
    <cellStyle name="Accent6 2 4 2" xfId="7108" xr:uid="{00000000-0005-0000-0000-0000C41B0000}"/>
    <cellStyle name="Accent6 2 4 2 2" xfId="7109" xr:uid="{00000000-0005-0000-0000-0000C51B0000}"/>
    <cellStyle name="Accent6 2 4 3" xfId="7110" xr:uid="{00000000-0005-0000-0000-0000C61B0000}"/>
    <cellStyle name="Accent6 2 5" xfId="7111" xr:uid="{00000000-0005-0000-0000-0000C71B0000}"/>
    <cellStyle name="Accent6 2 5 2" xfId="7112" xr:uid="{00000000-0005-0000-0000-0000C81B0000}"/>
    <cellStyle name="Accent6 2 5 2 2" xfId="7113" xr:uid="{00000000-0005-0000-0000-0000C91B0000}"/>
    <cellStyle name="Accent6 2 5 3" xfId="7114" xr:uid="{00000000-0005-0000-0000-0000CA1B0000}"/>
    <cellStyle name="Accent6 2 5 3 2" xfId="7115" xr:uid="{00000000-0005-0000-0000-0000CB1B0000}"/>
    <cellStyle name="Accent6 2 5 3 2 2" xfId="7116" xr:uid="{00000000-0005-0000-0000-0000CC1B0000}"/>
    <cellStyle name="Accent6 2 5 3 3" xfId="7117" xr:uid="{00000000-0005-0000-0000-0000CD1B0000}"/>
    <cellStyle name="Accent6 2 5 4" xfId="7118" xr:uid="{00000000-0005-0000-0000-0000CE1B0000}"/>
    <cellStyle name="Accent6 2 6" xfId="7119" xr:uid="{00000000-0005-0000-0000-0000CF1B0000}"/>
    <cellStyle name="Accent6 2 6 2" xfId="7120" xr:uid="{00000000-0005-0000-0000-0000D01B0000}"/>
    <cellStyle name="Accent6 2 6 2 2" xfId="7121" xr:uid="{00000000-0005-0000-0000-0000D11B0000}"/>
    <cellStyle name="Accent6 2 6 3" xfId="7122" xr:uid="{00000000-0005-0000-0000-0000D21B0000}"/>
    <cellStyle name="Accent6 2 6 3 2" xfId="7123" xr:uid="{00000000-0005-0000-0000-0000D31B0000}"/>
    <cellStyle name="Accent6 2 6 4" xfId="7124" xr:uid="{00000000-0005-0000-0000-0000D41B0000}"/>
    <cellStyle name="Accent6 2 7" xfId="7125" xr:uid="{00000000-0005-0000-0000-0000D51B0000}"/>
    <cellStyle name="Accent6 2 7 2" xfId="7126" xr:uid="{00000000-0005-0000-0000-0000D61B0000}"/>
    <cellStyle name="Accent6 2 8" xfId="7127" xr:uid="{00000000-0005-0000-0000-0000D71B0000}"/>
    <cellStyle name="Accent6 2 8 2" xfId="7128" xr:uid="{00000000-0005-0000-0000-0000D81B0000}"/>
    <cellStyle name="Accent6 2 8 2 2" xfId="7129" xr:uid="{00000000-0005-0000-0000-0000D91B0000}"/>
    <cellStyle name="Accent6 2 8 3" xfId="7130" xr:uid="{00000000-0005-0000-0000-0000DA1B0000}"/>
    <cellStyle name="Accent6 2 9" xfId="7131" xr:uid="{00000000-0005-0000-0000-0000DB1B0000}"/>
    <cellStyle name="Accent6 2 9 2" xfId="7132" xr:uid="{00000000-0005-0000-0000-0000DC1B0000}"/>
    <cellStyle name="Accent6 2 9 2 2" xfId="7133" xr:uid="{00000000-0005-0000-0000-0000DD1B0000}"/>
    <cellStyle name="Accent6 2 9 3" xfId="7134" xr:uid="{00000000-0005-0000-0000-0000DE1B0000}"/>
    <cellStyle name="Accent6 20" xfId="7135" xr:uid="{00000000-0005-0000-0000-0000DF1B0000}"/>
    <cellStyle name="Accent6 20 2" xfId="7136" xr:uid="{00000000-0005-0000-0000-0000E01B0000}"/>
    <cellStyle name="Accent6 20 2 2" xfId="7137" xr:uid="{00000000-0005-0000-0000-0000E11B0000}"/>
    <cellStyle name="Accent6 20 3" xfId="7138" xr:uid="{00000000-0005-0000-0000-0000E21B0000}"/>
    <cellStyle name="Accent6 21" xfId="7139" xr:uid="{00000000-0005-0000-0000-0000E31B0000}"/>
    <cellStyle name="Accent6 21 2" xfId="7140" xr:uid="{00000000-0005-0000-0000-0000E41B0000}"/>
    <cellStyle name="Accent6 21 2 2" xfId="7141" xr:uid="{00000000-0005-0000-0000-0000E51B0000}"/>
    <cellStyle name="Accent6 21 3" xfId="7142" xr:uid="{00000000-0005-0000-0000-0000E61B0000}"/>
    <cellStyle name="Accent6 22" xfId="7143" xr:uid="{00000000-0005-0000-0000-0000E71B0000}"/>
    <cellStyle name="Accent6 22 2" xfId="7144" xr:uid="{00000000-0005-0000-0000-0000E81B0000}"/>
    <cellStyle name="Accent6 22 2 2" xfId="7145" xr:uid="{00000000-0005-0000-0000-0000E91B0000}"/>
    <cellStyle name="Accent6 22 3" xfId="7146" xr:uid="{00000000-0005-0000-0000-0000EA1B0000}"/>
    <cellStyle name="Accent6 23" xfId="7147" xr:uid="{00000000-0005-0000-0000-0000EB1B0000}"/>
    <cellStyle name="Accent6 23 2" xfId="7148" xr:uid="{00000000-0005-0000-0000-0000EC1B0000}"/>
    <cellStyle name="Accent6 23 2 2" xfId="7149" xr:uid="{00000000-0005-0000-0000-0000ED1B0000}"/>
    <cellStyle name="Accent6 23 3" xfId="7150" xr:uid="{00000000-0005-0000-0000-0000EE1B0000}"/>
    <cellStyle name="Accent6 24" xfId="7151" xr:uid="{00000000-0005-0000-0000-0000EF1B0000}"/>
    <cellStyle name="Accent6 24 2" xfId="7152" xr:uid="{00000000-0005-0000-0000-0000F01B0000}"/>
    <cellStyle name="Accent6 24 2 2" xfId="7153" xr:uid="{00000000-0005-0000-0000-0000F11B0000}"/>
    <cellStyle name="Accent6 24 3" xfId="7154" xr:uid="{00000000-0005-0000-0000-0000F21B0000}"/>
    <cellStyle name="Accent6 25" xfId="7155" xr:uid="{00000000-0005-0000-0000-0000F31B0000}"/>
    <cellStyle name="Accent6 25 2" xfId="7156" xr:uid="{00000000-0005-0000-0000-0000F41B0000}"/>
    <cellStyle name="Accent6 25 2 2" xfId="7157" xr:uid="{00000000-0005-0000-0000-0000F51B0000}"/>
    <cellStyle name="Accent6 25 3" xfId="7158" xr:uid="{00000000-0005-0000-0000-0000F61B0000}"/>
    <cellStyle name="Accent6 26" xfId="7159" xr:uid="{00000000-0005-0000-0000-0000F71B0000}"/>
    <cellStyle name="Accent6 26 2" xfId="7160" xr:uid="{00000000-0005-0000-0000-0000F81B0000}"/>
    <cellStyle name="Accent6 26 2 2" xfId="7161" xr:uid="{00000000-0005-0000-0000-0000F91B0000}"/>
    <cellStyle name="Accent6 26 3" xfId="7162" xr:uid="{00000000-0005-0000-0000-0000FA1B0000}"/>
    <cellStyle name="Accent6 27" xfId="7163" xr:uid="{00000000-0005-0000-0000-0000FB1B0000}"/>
    <cellStyle name="Accent6 27 2" xfId="7164" xr:uid="{00000000-0005-0000-0000-0000FC1B0000}"/>
    <cellStyle name="Accent6 27 2 2" xfId="7165" xr:uid="{00000000-0005-0000-0000-0000FD1B0000}"/>
    <cellStyle name="Accent6 27 3" xfId="7166" xr:uid="{00000000-0005-0000-0000-0000FE1B0000}"/>
    <cellStyle name="Accent6 28" xfId="7167" xr:uid="{00000000-0005-0000-0000-0000FF1B0000}"/>
    <cellStyle name="Accent6 28 2" xfId="7168" xr:uid="{00000000-0005-0000-0000-0000001C0000}"/>
    <cellStyle name="Accent6 28 2 2" xfId="7169" xr:uid="{00000000-0005-0000-0000-0000011C0000}"/>
    <cellStyle name="Accent6 28 3" xfId="7170" xr:uid="{00000000-0005-0000-0000-0000021C0000}"/>
    <cellStyle name="Accent6 29" xfId="7171" xr:uid="{00000000-0005-0000-0000-0000031C0000}"/>
    <cellStyle name="Accent6 29 2" xfId="7172" xr:uid="{00000000-0005-0000-0000-0000041C0000}"/>
    <cellStyle name="Accent6 29 2 2" xfId="7173" xr:uid="{00000000-0005-0000-0000-0000051C0000}"/>
    <cellStyle name="Accent6 29 3" xfId="7174" xr:uid="{00000000-0005-0000-0000-0000061C0000}"/>
    <cellStyle name="Accent6 3" xfId="7175" xr:uid="{00000000-0005-0000-0000-0000071C0000}"/>
    <cellStyle name="Accent6 3 10" xfId="7176" xr:uid="{00000000-0005-0000-0000-0000081C0000}"/>
    <cellStyle name="Accent6 3 10 2" xfId="7177" xr:uid="{00000000-0005-0000-0000-0000091C0000}"/>
    <cellStyle name="Accent6 3 10 2 2" xfId="7178" xr:uid="{00000000-0005-0000-0000-00000A1C0000}"/>
    <cellStyle name="Accent6 3 10 3" xfId="7179" xr:uid="{00000000-0005-0000-0000-00000B1C0000}"/>
    <cellStyle name="Accent6 3 11" xfId="7180" xr:uid="{00000000-0005-0000-0000-00000C1C0000}"/>
    <cellStyle name="Accent6 3 11 2" xfId="7181" xr:uid="{00000000-0005-0000-0000-00000D1C0000}"/>
    <cellStyle name="Accent6 3 12" xfId="7182" xr:uid="{00000000-0005-0000-0000-00000E1C0000}"/>
    <cellStyle name="Accent6 3 2" xfId="7183" xr:uid="{00000000-0005-0000-0000-00000F1C0000}"/>
    <cellStyle name="Accent6 3 2 2" xfId="7184" xr:uid="{00000000-0005-0000-0000-0000101C0000}"/>
    <cellStyle name="Accent6 3 2 2 2" xfId="7185" xr:uid="{00000000-0005-0000-0000-0000111C0000}"/>
    <cellStyle name="Accent6 3 2 3" xfId="7186" xr:uid="{00000000-0005-0000-0000-0000121C0000}"/>
    <cellStyle name="Accent6 3 2 3 2" xfId="7187" xr:uid="{00000000-0005-0000-0000-0000131C0000}"/>
    <cellStyle name="Accent6 3 2 3 2 2" xfId="7188" xr:uid="{00000000-0005-0000-0000-0000141C0000}"/>
    <cellStyle name="Accent6 3 2 3 3" xfId="7189" xr:uid="{00000000-0005-0000-0000-0000151C0000}"/>
    <cellStyle name="Accent6 3 2 4" xfId="7190" xr:uid="{00000000-0005-0000-0000-0000161C0000}"/>
    <cellStyle name="Accent6 3 3" xfId="7191" xr:uid="{00000000-0005-0000-0000-0000171C0000}"/>
    <cellStyle name="Accent6 3 3 2" xfId="7192" xr:uid="{00000000-0005-0000-0000-0000181C0000}"/>
    <cellStyle name="Accent6 3 3 2 2" xfId="7193" xr:uid="{00000000-0005-0000-0000-0000191C0000}"/>
    <cellStyle name="Accent6 3 3 3" xfId="7194" xr:uid="{00000000-0005-0000-0000-00001A1C0000}"/>
    <cellStyle name="Accent6 3 3 3 2" xfId="7195" xr:uid="{00000000-0005-0000-0000-00001B1C0000}"/>
    <cellStyle name="Accent6 3 3 3 2 2" xfId="7196" xr:uid="{00000000-0005-0000-0000-00001C1C0000}"/>
    <cellStyle name="Accent6 3 3 3 3" xfId="7197" xr:uid="{00000000-0005-0000-0000-00001D1C0000}"/>
    <cellStyle name="Accent6 3 3 4" xfId="7198" xr:uid="{00000000-0005-0000-0000-00001E1C0000}"/>
    <cellStyle name="Accent6 3 4" xfId="7199" xr:uid="{00000000-0005-0000-0000-00001F1C0000}"/>
    <cellStyle name="Accent6 3 4 2" xfId="7200" xr:uid="{00000000-0005-0000-0000-0000201C0000}"/>
    <cellStyle name="Accent6 3 4 2 2" xfId="7201" xr:uid="{00000000-0005-0000-0000-0000211C0000}"/>
    <cellStyle name="Accent6 3 4 3" xfId="7202" xr:uid="{00000000-0005-0000-0000-0000221C0000}"/>
    <cellStyle name="Accent6 3 5" xfId="7203" xr:uid="{00000000-0005-0000-0000-0000231C0000}"/>
    <cellStyle name="Accent6 3 5 2" xfId="7204" xr:uid="{00000000-0005-0000-0000-0000241C0000}"/>
    <cellStyle name="Accent6 3 5 2 2" xfId="7205" xr:uid="{00000000-0005-0000-0000-0000251C0000}"/>
    <cellStyle name="Accent6 3 5 3" xfId="7206" xr:uid="{00000000-0005-0000-0000-0000261C0000}"/>
    <cellStyle name="Accent6 3 5 3 2" xfId="7207" xr:uid="{00000000-0005-0000-0000-0000271C0000}"/>
    <cellStyle name="Accent6 3 5 3 2 2" xfId="7208" xr:uid="{00000000-0005-0000-0000-0000281C0000}"/>
    <cellStyle name="Accent6 3 5 3 3" xfId="7209" xr:uid="{00000000-0005-0000-0000-0000291C0000}"/>
    <cellStyle name="Accent6 3 5 4" xfId="7210" xr:uid="{00000000-0005-0000-0000-00002A1C0000}"/>
    <cellStyle name="Accent6 3 6" xfId="7211" xr:uid="{00000000-0005-0000-0000-00002B1C0000}"/>
    <cellStyle name="Accent6 3 6 2" xfId="7212" xr:uid="{00000000-0005-0000-0000-00002C1C0000}"/>
    <cellStyle name="Accent6 3 7" xfId="7213" xr:uid="{00000000-0005-0000-0000-00002D1C0000}"/>
    <cellStyle name="Accent6 3 7 2" xfId="7214" xr:uid="{00000000-0005-0000-0000-00002E1C0000}"/>
    <cellStyle name="Accent6 3 8" xfId="7215" xr:uid="{00000000-0005-0000-0000-00002F1C0000}"/>
    <cellStyle name="Accent6 3 8 2" xfId="7216" xr:uid="{00000000-0005-0000-0000-0000301C0000}"/>
    <cellStyle name="Accent6 3 8 2 2" xfId="7217" xr:uid="{00000000-0005-0000-0000-0000311C0000}"/>
    <cellStyle name="Accent6 3 8 3" xfId="7218" xr:uid="{00000000-0005-0000-0000-0000321C0000}"/>
    <cellStyle name="Accent6 3 9" xfId="7219" xr:uid="{00000000-0005-0000-0000-0000331C0000}"/>
    <cellStyle name="Accent6 3 9 2" xfId="7220" xr:uid="{00000000-0005-0000-0000-0000341C0000}"/>
    <cellStyle name="Accent6 3 9 2 2" xfId="7221" xr:uid="{00000000-0005-0000-0000-0000351C0000}"/>
    <cellStyle name="Accent6 3 9 3" xfId="7222" xr:uid="{00000000-0005-0000-0000-0000361C0000}"/>
    <cellStyle name="Accent6 30" xfId="7223" xr:uid="{00000000-0005-0000-0000-0000371C0000}"/>
    <cellStyle name="Accent6 30 2" xfId="7224" xr:uid="{00000000-0005-0000-0000-0000381C0000}"/>
    <cellStyle name="Accent6 30 2 2" xfId="7225" xr:uid="{00000000-0005-0000-0000-0000391C0000}"/>
    <cellStyle name="Accent6 30 3" xfId="7226" xr:uid="{00000000-0005-0000-0000-00003A1C0000}"/>
    <cellStyle name="Accent6 31" xfId="7227" xr:uid="{00000000-0005-0000-0000-00003B1C0000}"/>
    <cellStyle name="Accent6 31 2" xfId="7228" xr:uid="{00000000-0005-0000-0000-00003C1C0000}"/>
    <cellStyle name="Accent6 31 2 2" xfId="7229" xr:uid="{00000000-0005-0000-0000-00003D1C0000}"/>
    <cellStyle name="Accent6 31 3" xfId="7230" xr:uid="{00000000-0005-0000-0000-00003E1C0000}"/>
    <cellStyle name="Accent6 32" xfId="7231" xr:uid="{00000000-0005-0000-0000-00003F1C0000}"/>
    <cellStyle name="Accent6 32 2" xfId="7232" xr:uid="{00000000-0005-0000-0000-0000401C0000}"/>
    <cellStyle name="Accent6 32 2 2" xfId="7233" xr:uid="{00000000-0005-0000-0000-0000411C0000}"/>
    <cellStyle name="Accent6 32 3" xfId="7234" xr:uid="{00000000-0005-0000-0000-0000421C0000}"/>
    <cellStyle name="Accent6 33" xfId="7235" xr:uid="{00000000-0005-0000-0000-0000431C0000}"/>
    <cellStyle name="Accent6 33 2" xfId="7236" xr:uid="{00000000-0005-0000-0000-0000441C0000}"/>
    <cellStyle name="Accent6 33 2 2" xfId="7237" xr:uid="{00000000-0005-0000-0000-0000451C0000}"/>
    <cellStyle name="Accent6 33 3" xfId="7238" xr:uid="{00000000-0005-0000-0000-0000461C0000}"/>
    <cellStyle name="Accent6 34" xfId="7239" xr:uid="{00000000-0005-0000-0000-0000471C0000}"/>
    <cellStyle name="Accent6 34 2" xfId="7240" xr:uid="{00000000-0005-0000-0000-0000481C0000}"/>
    <cellStyle name="Accent6 34 2 2" xfId="7241" xr:uid="{00000000-0005-0000-0000-0000491C0000}"/>
    <cellStyle name="Accent6 34 3" xfId="7242" xr:uid="{00000000-0005-0000-0000-00004A1C0000}"/>
    <cellStyle name="Accent6 35" xfId="7243" xr:uid="{00000000-0005-0000-0000-00004B1C0000}"/>
    <cellStyle name="Accent6 35 2" xfId="7244" xr:uid="{00000000-0005-0000-0000-00004C1C0000}"/>
    <cellStyle name="Accent6 35 2 2" xfId="7245" xr:uid="{00000000-0005-0000-0000-00004D1C0000}"/>
    <cellStyle name="Accent6 35 3" xfId="7246" xr:uid="{00000000-0005-0000-0000-00004E1C0000}"/>
    <cellStyle name="Accent6 36" xfId="7247" xr:uid="{00000000-0005-0000-0000-00004F1C0000}"/>
    <cellStyle name="Accent6 36 2" xfId="7248" xr:uid="{00000000-0005-0000-0000-0000501C0000}"/>
    <cellStyle name="Accent6 36 2 2" xfId="7249" xr:uid="{00000000-0005-0000-0000-0000511C0000}"/>
    <cellStyle name="Accent6 36 3" xfId="7250" xr:uid="{00000000-0005-0000-0000-0000521C0000}"/>
    <cellStyle name="Accent6 37" xfId="7251" xr:uid="{00000000-0005-0000-0000-0000531C0000}"/>
    <cellStyle name="Accent6 37 2" xfId="7252" xr:uid="{00000000-0005-0000-0000-0000541C0000}"/>
    <cellStyle name="Accent6 37 2 2" xfId="7253" xr:uid="{00000000-0005-0000-0000-0000551C0000}"/>
    <cellStyle name="Accent6 37 3" xfId="7254" xr:uid="{00000000-0005-0000-0000-0000561C0000}"/>
    <cellStyle name="Accent6 38" xfId="7255" xr:uid="{00000000-0005-0000-0000-0000571C0000}"/>
    <cellStyle name="Accent6 38 2" xfId="7256" xr:uid="{00000000-0005-0000-0000-0000581C0000}"/>
    <cellStyle name="Accent6 38 2 2" xfId="7257" xr:uid="{00000000-0005-0000-0000-0000591C0000}"/>
    <cellStyle name="Accent6 38 3" xfId="7258" xr:uid="{00000000-0005-0000-0000-00005A1C0000}"/>
    <cellStyle name="Accent6 39" xfId="7259" xr:uid="{00000000-0005-0000-0000-00005B1C0000}"/>
    <cellStyle name="Accent6 39 2" xfId="7260" xr:uid="{00000000-0005-0000-0000-00005C1C0000}"/>
    <cellStyle name="Accent6 39 2 2" xfId="7261" xr:uid="{00000000-0005-0000-0000-00005D1C0000}"/>
    <cellStyle name="Accent6 39 3" xfId="7262" xr:uid="{00000000-0005-0000-0000-00005E1C0000}"/>
    <cellStyle name="Accent6 4" xfId="7263" xr:uid="{00000000-0005-0000-0000-00005F1C0000}"/>
    <cellStyle name="Accent6 4 2" xfId="7264" xr:uid="{00000000-0005-0000-0000-0000601C0000}"/>
    <cellStyle name="Accent6 4 2 2" xfId="7265" xr:uid="{00000000-0005-0000-0000-0000611C0000}"/>
    <cellStyle name="Accent6 4 2 2 2" xfId="7266" xr:uid="{00000000-0005-0000-0000-0000621C0000}"/>
    <cellStyle name="Accent6 4 2 3" xfId="7267" xr:uid="{00000000-0005-0000-0000-0000631C0000}"/>
    <cellStyle name="Accent6 4 2 3 2" xfId="7268" xr:uid="{00000000-0005-0000-0000-0000641C0000}"/>
    <cellStyle name="Accent6 4 2 3 2 2" xfId="7269" xr:uid="{00000000-0005-0000-0000-0000651C0000}"/>
    <cellStyle name="Accent6 4 2 3 3" xfId="7270" xr:uid="{00000000-0005-0000-0000-0000661C0000}"/>
    <cellStyle name="Accent6 4 2 4" xfId="7271" xr:uid="{00000000-0005-0000-0000-0000671C0000}"/>
    <cellStyle name="Accent6 4 3" xfId="7272" xr:uid="{00000000-0005-0000-0000-0000681C0000}"/>
    <cellStyle name="Accent6 4 3 2" xfId="7273" xr:uid="{00000000-0005-0000-0000-0000691C0000}"/>
    <cellStyle name="Accent6 4 3 2 2" xfId="7274" xr:uid="{00000000-0005-0000-0000-00006A1C0000}"/>
    <cellStyle name="Accent6 4 3 3" xfId="7275" xr:uid="{00000000-0005-0000-0000-00006B1C0000}"/>
    <cellStyle name="Accent6 4 3 3 2" xfId="7276" xr:uid="{00000000-0005-0000-0000-00006C1C0000}"/>
    <cellStyle name="Accent6 4 3 3 2 2" xfId="7277" xr:uid="{00000000-0005-0000-0000-00006D1C0000}"/>
    <cellStyle name="Accent6 4 3 3 3" xfId="7278" xr:uid="{00000000-0005-0000-0000-00006E1C0000}"/>
    <cellStyle name="Accent6 4 3 4" xfId="7279" xr:uid="{00000000-0005-0000-0000-00006F1C0000}"/>
    <cellStyle name="Accent6 4 4" xfId="7280" xr:uid="{00000000-0005-0000-0000-0000701C0000}"/>
    <cellStyle name="Accent6 4 4 2" xfId="7281" xr:uid="{00000000-0005-0000-0000-0000711C0000}"/>
    <cellStyle name="Accent6 4 4 2 2" xfId="7282" xr:uid="{00000000-0005-0000-0000-0000721C0000}"/>
    <cellStyle name="Accent6 4 4 3" xfId="7283" xr:uid="{00000000-0005-0000-0000-0000731C0000}"/>
    <cellStyle name="Accent6 4 5" xfId="7284" xr:uid="{00000000-0005-0000-0000-0000741C0000}"/>
    <cellStyle name="Accent6 4 5 2" xfId="7285" xr:uid="{00000000-0005-0000-0000-0000751C0000}"/>
    <cellStyle name="Accent6 4 6" xfId="7286" xr:uid="{00000000-0005-0000-0000-0000761C0000}"/>
    <cellStyle name="Accent6 4 6 2" xfId="7287" xr:uid="{00000000-0005-0000-0000-0000771C0000}"/>
    <cellStyle name="Accent6 4 6 2 2" xfId="7288" xr:uid="{00000000-0005-0000-0000-0000781C0000}"/>
    <cellStyle name="Accent6 4 6 3" xfId="7289" xr:uid="{00000000-0005-0000-0000-0000791C0000}"/>
    <cellStyle name="Accent6 4 7" xfId="7290" xr:uid="{00000000-0005-0000-0000-00007A1C0000}"/>
    <cellStyle name="Accent6 4 7 2" xfId="7291" xr:uid="{00000000-0005-0000-0000-00007B1C0000}"/>
    <cellStyle name="Accent6 4 7 2 2" xfId="7292" xr:uid="{00000000-0005-0000-0000-00007C1C0000}"/>
    <cellStyle name="Accent6 4 7 3" xfId="7293" xr:uid="{00000000-0005-0000-0000-00007D1C0000}"/>
    <cellStyle name="Accent6 4 8" xfId="7294" xr:uid="{00000000-0005-0000-0000-00007E1C0000}"/>
    <cellStyle name="Accent6 40" xfId="7295" xr:uid="{00000000-0005-0000-0000-00007F1C0000}"/>
    <cellStyle name="Accent6 40 2" xfId="7296" xr:uid="{00000000-0005-0000-0000-0000801C0000}"/>
    <cellStyle name="Accent6 40 2 2" xfId="7297" xr:uid="{00000000-0005-0000-0000-0000811C0000}"/>
    <cellStyle name="Accent6 40 3" xfId="7298" xr:uid="{00000000-0005-0000-0000-0000821C0000}"/>
    <cellStyle name="Accent6 41" xfId="7299" xr:uid="{00000000-0005-0000-0000-0000831C0000}"/>
    <cellStyle name="Accent6 41 2" xfId="7300" xr:uid="{00000000-0005-0000-0000-0000841C0000}"/>
    <cellStyle name="Accent6 41 2 2" xfId="7301" xr:uid="{00000000-0005-0000-0000-0000851C0000}"/>
    <cellStyle name="Accent6 41 3" xfId="7302" xr:uid="{00000000-0005-0000-0000-0000861C0000}"/>
    <cellStyle name="Accent6 42" xfId="7303" xr:uid="{00000000-0005-0000-0000-0000871C0000}"/>
    <cellStyle name="Accent6 42 2" xfId="7304" xr:uid="{00000000-0005-0000-0000-0000881C0000}"/>
    <cellStyle name="Accent6 42 2 2" xfId="7305" xr:uid="{00000000-0005-0000-0000-0000891C0000}"/>
    <cellStyle name="Accent6 42 3" xfId="7306" xr:uid="{00000000-0005-0000-0000-00008A1C0000}"/>
    <cellStyle name="Accent6 43" xfId="7307" xr:uid="{00000000-0005-0000-0000-00008B1C0000}"/>
    <cellStyle name="Accent6 43 2" xfId="7308" xr:uid="{00000000-0005-0000-0000-00008C1C0000}"/>
    <cellStyle name="Accent6 43 2 2" xfId="7309" xr:uid="{00000000-0005-0000-0000-00008D1C0000}"/>
    <cellStyle name="Accent6 43 3" xfId="7310" xr:uid="{00000000-0005-0000-0000-00008E1C0000}"/>
    <cellStyle name="Accent6 44" xfId="7311" xr:uid="{00000000-0005-0000-0000-00008F1C0000}"/>
    <cellStyle name="Accent6 44 2" xfId="7312" xr:uid="{00000000-0005-0000-0000-0000901C0000}"/>
    <cellStyle name="Accent6 44 2 2" xfId="7313" xr:uid="{00000000-0005-0000-0000-0000911C0000}"/>
    <cellStyle name="Accent6 44 3" xfId="7314" xr:uid="{00000000-0005-0000-0000-0000921C0000}"/>
    <cellStyle name="Accent6 45" xfId="7315" xr:uid="{00000000-0005-0000-0000-0000931C0000}"/>
    <cellStyle name="Accent6 45 2" xfId="7316" xr:uid="{00000000-0005-0000-0000-0000941C0000}"/>
    <cellStyle name="Accent6 45 2 2" xfId="7317" xr:uid="{00000000-0005-0000-0000-0000951C0000}"/>
    <cellStyle name="Accent6 45 3" xfId="7318" xr:uid="{00000000-0005-0000-0000-0000961C0000}"/>
    <cellStyle name="Accent6 46" xfId="7319" xr:uid="{00000000-0005-0000-0000-0000971C0000}"/>
    <cellStyle name="Accent6 46 2" xfId="7320" xr:uid="{00000000-0005-0000-0000-0000981C0000}"/>
    <cellStyle name="Accent6 46 2 2" xfId="7321" xr:uid="{00000000-0005-0000-0000-0000991C0000}"/>
    <cellStyle name="Accent6 46 3" xfId="7322" xr:uid="{00000000-0005-0000-0000-00009A1C0000}"/>
    <cellStyle name="Accent6 47" xfId="7323" xr:uid="{00000000-0005-0000-0000-00009B1C0000}"/>
    <cellStyle name="Accent6 47 2" xfId="7324" xr:uid="{00000000-0005-0000-0000-00009C1C0000}"/>
    <cellStyle name="Accent6 47 2 2" xfId="7325" xr:uid="{00000000-0005-0000-0000-00009D1C0000}"/>
    <cellStyle name="Accent6 47 3" xfId="7326" xr:uid="{00000000-0005-0000-0000-00009E1C0000}"/>
    <cellStyle name="Accent6 48" xfId="7327" xr:uid="{00000000-0005-0000-0000-00009F1C0000}"/>
    <cellStyle name="Accent6 48 2" xfId="7328" xr:uid="{00000000-0005-0000-0000-0000A01C0000}"/>
    <cellStyle name="Accent6 48 2 2" xfId="7329" xr:uid="{00000000-0005-0000-0000-0000A11C0000}"/>
    <cellStyle name="Accent6 48 3" xfId="7330" xr:uid="{00000000-0005-0000-0000-0000A21C0000}"/>
    <cellStyle name="Accent6 48 3 2" xfId="7331" xr:uid="{00000000-0005-0000-0000-0000A31C0000}"/>
    <cellStyle name="Accent6 48 3 2 2" xfId="7332" xr:uid="{00000000-0005-0000-0000-0000A41C0000}"/>
    <cellStyle name="Accent6 48 3 3" xfId="7333" xr:uid="{00000000-0005-0000-0000-0000A51C0000}"/>
    <cellStyle name="Accent6 48 4" xfId="7334" xr:uid="{00000000-0005-0000-0000-0000A61C0000}"/>
    <cellStyle name="Accent6 49" xfId="7335" xr:uid="{00000000-0005-0000-0000-0000A71C0000}"/>
    <cellStyle name="Accent6 49 2" xfId="7336" xr:uid="{00000000-0005-0000-0000-0000A81C0000}"/>
    <cellStyle name="Accent6 49 2 2" xfId="7337" xr:uid="{00000000-0005-0000-0000-0000A91C0000}"/>
    <cellStyle name="Accent6 49 3" xfId="7338" xr:uid="{00000000-0005-0000-0000-0000AA1C0000}"/>
    <cellStyle name="Accent6 49 3 2" xfId="7339" xr:uid="{00000000-0005-0000-0000-0000AB1C0000}"/>
    <cellStyle name="Accent6 49 3 2 2" xfId="7340" xr:uid="{00000000-0005-0000-0000-0000AC1C0000}"/>
    <cellStyle name="Accent6 49 3 3" xfId="7341" xr:uid="{00000000-0005-0000-0000-0000AD1C0000}"/>
    <cellStyle name="Accent6 49 4" xfId="7342" xr:uid="{00000000-0005-0000-0000-0000AE1C0000}"/>
    <cellStyle name="Accent6 5" xfId="7343" xr:uid="{00000000-0005-0000-0000-0000AF1C0000}"/>
    <cellStyle name="Accent6 5 2" xfId="7344" xr:uid="{00000000-0005-0000-0000-0000B01C0000}"/>
    <cellStyle name="Accent6 5 2 2" xfId="7345" xr:uid="{00000000-0005-0000-0000-0000B11C0000}"/>
    <cellStyle name="Accent6 5 2 2 2" xfId="7346" xr:uid="{00000000-0005-0000-0000-0000B21C0000}"/>
    <cellStyle name="Accent6 5 2 3" xfId="7347" xr:uid="{00000000-0005-0000-0000-0000B31C0000}"/>
    <cellStyle name="Accent6 5 2 3 2" xfId="7348" xr:uid="{00000000-0005-0000-0000-0000B41C0000}"/>
    <cellStyle name="Accent6 5 2 3 2 2" xfId="7349" xr:uid="{00000000-0005-0000-0000-0000B51C0000}"/>
    <cellStyle name="Accent6 5 2 3 3" xfId="7350" xr:uid="{00000000-0005-0000-0000-0000B61C0000}"/>
    <cellStyle name="Accent6 5 2 4" xfId="7351" xr:uid="{00000000-0005-0000-0000-0000B71C0000}"/>
    <cellStyle name="Accent6 5 3" xfId="7352" xr:uid="{00000000-0005-0000-0000-0000B81C0000}"/>
    <cellStyle name="Accent6 5 3 2" xfId="7353" xr:uid="{00000000-0005-0000-0000-0000B91C0000}"/>
    <cellStyle name="Accent6 5 3 2 2" xfId="7354" xr:uid="{00000000-0005-0000-0000-0000BA1C0000}"/>
    <cellStyle name="Accent6 5 3 3" xfId="7355" xr:uid="{00000000-0005-0000-0000-0000BB1C0000}"/>
    <cellStyle name="Accent6 5 3 3 2" xfId="7356" xr:uid="{00000000-0005-0000-0000-0000BC1C0000}"/>
    <cellStyle name="Accent6 5 3 3 2 2" xfId="7357" xr:uid="{00000000-0005-0000-0000-0000BD1C0000}"/>
    <cellStyle name="Accent6 5 3 3 3" xfId="7358" xr:uid="{00000000-0005-0000-0000-0000BE1C0000}"/>
    <cellStyle name="Accent6 5 3 4" xfId="7359" xr:uid="{00000000-0005-0000-0000-0000BF1C0000}"/>
    <cellStyle name="Accent6 5 4" xfId="7360" xr:uid="{00000000-0005-0000-0000-0000C01C0000}"/>
    <cellStyle name="Accent6 5 4 2" xfId="7361" xr:uid="{00000000-0005-0000-0000-0000C11C0000}"/>
    <cellStyle name="Accent6 5 5" xfId="7362" xr:uid="{00000000-0005-0000-0000-0000C21C0000}"/>
    <cellStyle name="Accent6 5 5 2" xfId="7363" xr:uid="{00000000-0005-0000-0000-0000C31C0000}"/>
    <cellStyle name="Accent6 5 5 2 2" xfId="7364" xr:uid="{00000000-0005-0000-0000-0000C41C0000}"/>
    <cellStyle name="Accent6 5 5 3" xfId="7365" xr:uid="{00000000-0005-0000-0000-0000C51C0000}"/>
    <cellStyle name="Accent6 5 6" xfId="7366" xr:uid="{00000000-0005-0000-0000-0000C61C0000}"/>
    <cellStyle name="Accent6 5 6 2" xfId="7367" xr:uid="{00000000-0005-0000-0000-0000C71C0000}"/>
    <cellStyle name="Accent6 5 7" xfId="7368" xr:uid="{00000000-0005-0000-0000-0000C81C0000}"/>
    <cellStyle name="Accent6 50" xfId="7369" xr:uid="{00000000-0005-0000-0000-0000C91C0000}"/>
    <cellStyle name="Accent6 50 2" xfId="7370" xr:uid="{00000000-0005-0000-0000-0000CA1C0000}"/>
    <cellStyle name="Accent6 50 2 2" xfId="7371" xr:uid="{00000000-0005-0000-0000-0000CB1C0000}"/>
    <cellStyle name="Accent6 50 3" xfId="7372" xr:uid="{00000000-0005-0000-0000-0000CC1C0000}"/>
    <cellStyle name="Accent6 50 3 2" xfId="7373" xr:uid="{00000000-0005-0000-0000-0000CD1C0000}"/>
    <cellStyle name="Accent6 50 3 2 2" xfId="7374" xr:uid="{00000000-0005-0000-0000-0000CE1C0000}"/>
    <cellStyle name="Accent6 50 3 3" xfId="7375" xr:uid="{00000000-0005-0000-0000-0000CF1C0000}"/>
    <cellStyle name="Accent6 50 4" xfId="7376" xr:uid="{00000000-0005-0000-0000-0000D01C0000}"/>
    <cellStyle name="Accent6 51" xfId="7377" xr:uid="{00000000-0005-0000-0000-0000D11C0000}"/>
    <cellStyle name="Accent6 51 2" xfId="7378" xr:uid="{00000000-0005-0000-0000-0000D21C0000}"/>
    <cellStyle name="Accent6 51 2 2" xfId="7379" xr:uid="{00000000-0005-0000-0000-0000D31C0000}"/>
    <cellStyle name="Accent6 51 3" xfId="7380" xr:uid="{00000000-0005-0000-0000-0000D41C0000}"/>
    <cellStyle name="Accent6 51 3 2" xfId="7381" xr:uid="{00000000-0005-0000-0000-0000D51C0000}"/>
    <cellStyle name="Accent6 51 3 2 2" xfId="7382" xr:uid="{00000000-0005-0000-0000-0000D61C0000}"/>
    <cellStyle name="Accent6 51 3 3" xfId="7383" xr:uid="{00000000-0005-0000-0000-0000D71C0000}"/>
    <cellStyle name="Accent6 51 4" xfId="7384" xr:uid="{00000000-0005-0000-0000-0000D81C0000}"/>
    <cellStyle name="Accent6 52" xfId="7385" xr:uid="{00000000-0005-0000-0000-0000D91C0000}"/>
    <cellStyle name="Accent6 52 2" xfId="7386" xr:uid="{00000000-0005-0000-0000-0000DA1C0000}"/>
    <cellStyle name="Accent6 52 2 2" xfId="7387" xr:uid="{00000000-0005-0000-0000-0000DB1C0000}"/>
    <cellStyle name="Accent6 52 3" xfId="7388" xr:uid="{00000000-0005-0000-0000-0000DC1C0000}"/>
    <cellStyle name="Accent6 53" xfId="7389" xr:uid="{00000000-0005-0000-0000-0000DD1C0000}"/>
    <cellStyle name="Accent6 53 2" xfId="7390" xr:uid="{00000000-0005-0000-0000-0000DE1C0000}"/>
    <cellStyle name="Accent6 53 2 2" xfId="7391" xr:uid="{00000000-0005-0000-0000-0000DF1C0000}"/>
    <cellStyle name="Accent6 53 3" xfId="7392" xr:uid="{00000000-0005-0000-0000-0000E01C0000}"/>
    <cellStyle name="Accent6 54" xfId="7393" xr:uid="{00000000-0005-0000-0000-0000E11C0000}"/>
    <cellStyle name="Accent6 54 2" xfId="7394" xr:uid="{00000000-0005-0000-0000-0000E21C0000}"/>
    <cellStyle name="Accent6 54 2 2" xfId="7395" xr:uid="{00000000-0005-0000-0000-0000E31C0000}"/>
    <cellStyle name="Accent6 54 3" xfId="7396" xr:uid="{00000000-0005-0000-0000-0000E41C0000}"/>
    <cellStyle name="Accent6 55" xfId="7397" xr:uid="{00000000-0005-0000-0000-0000E51C0000}"/>
    <cellStyle name="Accent6 55 2" xfId="7398" xr:uid="{00000000-0005-0000-0000-0000E61C0000}"/>
    <cellStyle name="Accent6 55 2 2" xfId="7399" xr:uid="{00000000-0005-0000-0000-0000E71C0000}"/>
    <cellStyle name="Accent6 55 3" xfId="7400" xr:uid="{00000000-0005-0000-0000-0000E81C0000}"/>
    <cellStyle name="Accent6 56" xfId="7401" xr:uid="{00000000-0005-0000-0000-0000E91C0000}"/>
    <cellStyle name="Accent6 56 2" xfId="7402" xr:uid="{00000000-0005-0000-0000-0000EA1C0000}"/>
    <cellStyle name="Accent6 56 2 2" xfId="7403" xr:uid="{00000000-0005-0000-0000-0000EB1C0000}"/>
    <cellStyle name="Accent6 56 3" xfId="7404" xr:uid="{00000000-0005-0000-0000-0000EC1C0000}"/>
    <cellStyle name="Accent6 57" xfId="7405" xr:uid="{00000000-0005-0000-0000-0000ED1C0000}"/>
    <cellStyle name="Accent6 57 2" xfId="7406" xr:uid="{00000000-0005-0000-0000-0000EE1C0000}"/>
    <cellStyle name="Accent6 57 2 2" xfId="7407" xr:uid="{00000000-0005-0000-0000-0000EF1C0000}"/>
    <cellStyle name="Accent6 57 3" xfId="7408" xr:uid="{00000000-0005-0000-0000-0000F01C0000}"/>
    <cellStyle name="Accent6 58" xfId="7409" xr:uid="{00000000-0005-0000-0000-0000F11C0000}"/>
    <cellStyle name="Accent6 58 2" xfId="7410" xr:uid="{00000000-0005-0000-0000-0000F21C0000}"/>
    <cellStyle name="Accent6 58 2 2" xfId="7411" xr:uid="{00000000-0005-0000-0000-0000F31C0000}"/>
    <cellStyle name="Accent6 58 3" xfId="7412" xr:uid="{00000000-0005-0000-0000-0000F41C0000}"/>
    <cellStyle name="Accent6 58 3 2" xfId="7413" xr:uid="{00000000-0005-0000-0000-0000F51C0000}"/>
    <cellStyle name="Accent6 58 3 2 2" xfId="7414" xr:uid="{00000000-0005-0000-0000-0000F61C0000}"/>
    <cellStyle name="Accent6 58 3 3" xfId="7415" xr:uid="{00000000-0005-0000-0000-0000F71C0000}"/>
    <cellStyle name="Accent6 58 4" xfId="7416" xr:uid="{00000000-0005-0000-0000-0000F81C0000}"/>
    <cellStyle name="Accent6 59" xfId="7417" xr:uid="{00000000-0005-0000-0000-0000F91C0000}"/>
    <cellStyle name="Accent6 59 2" xfId="7418" xr:uid="{00000000-0005-0000-0000-0000FA1C0000}"/>
    <cellStyle name="Accent6 59 2 2" xfId="7419" xr:uid="{00000000-0005-0000-0000-0000FB1C0000}"/>
    <cellStyle name="Accent6 59 3" xfId="7420" xr:uid="{00000000-0005-0000-0000-0000FC1C0000}"/>
    <cellStyle name="Accent6 59 3 2" xfId="7421" xr:uid="{00000000-0005-0000-0000-0000FD1C0000}"/>
    <cellStyle name="Accent6 59 3 2 2" xfId="7422" xr:uid="{00000000-0005-0000-0000-0000FE1C0000}"/>
    <cellStyle name="Accent6 59 3 3" xfId="7423" xr:uid="{00000000-0005-0000-0000-0000FF1C0000}"/>
    <cellStyle name="Accent6 59 4" xfId="7424" xr:uid="{00000000-0005-0000-0000-0000001D0000}"/>
    <cellStyle name="Accent6 6" xfId="7425" xr:uid="{00000000-0005-0000-0000-0000011D0000}"/>
    <cellStyle name="Accent6 6 2" xfId="7426" xr:uid="{00000000-0005-0000-0000-0000021D0000}"/>
    <cellStyle name="Accent6 6 2 2" xfId="7427" xr:uid="{00000000-0005-0000-0000-0000031D0000}"/>
    <cellStyle name="Accent6 6 2 2 2" xfId="7428" xr:uid="{00000000-0005-0000-0000-0000041D0000}"/>
    <cellStyle name="Accent6 6 2 3" xfId="7429" xr:uid="{00000000-0005-0000-0000-0000051D0000}"/>
    <cellStyle name="Accent6 6 2 3 2" xfId="7430" xr:uid="{00000000-0005-0000-0000-0000061D0000}"/>
    <cellStyle name="Accent6 6 2 3 2 2" xfId="7431" xr:uid="{00000000-0005-0000-0000-0000071D0000}"/>
    <cellStyle name="Accent6 6 2 3 3" xfId="7432" xr:uid="{00000000-0005-0000-0000-0000081D0000}"/>
    <cellStyle name="Accent6 6 2 4" xfId="7433" xr:uid="{00000000-0005-0000-0000-0000091D0000}"/>
    <cellStyle name="Accent6 6 3" xfId="7434" xr:uid="{00000000-0005-0000-0000-00000A1D0000}"/>
    <cellStyle name="Accent6 6 3 2" xfId="7435" xr:uid="{00000000-0005-0000-0000-00000B1D0000}"/>
    <cellStyle name="Accent6 6 4" xfId="7436" xr:uid="{00000000-0005-0000-0000-00000C1D0000}"/>
    <cellStyle name="Accent6 6 4 2" xfId="7437" xr:uid="{00000000-0005-0000-0000-00000D1D0000}"/>
    <cellStyle name="Accent6 6 4 2 2" xfId="7438" xr:uid="{00000000-0005-0000-0000-00000E1D0000}"/>
    <cellStyle name="Accent6 6 4 3" xfId="7439" xr:uid="{00000000-0005-0000-0000-00000F1D0000}"/>
    <cellStyle name="Accent6 6 5" xfId="7440" xr:uid="{00000000-0005-0000-0000-0000101D0000}"/>
    <cellStyle name="Accent6 60" xfId="7441" xr:uid="{00000000-0005-0000-0000-0000111D0000}"/>
    <cellStyle name="Accent6 60 2" xfId="7442" xr:uid="{00000000-0005-0000-0000-0000121D0000}"/>
    <cellStyle name="Accent6 60 2 2" xfId="7443" xr:uid="{00000000-0005-0000-0000-0000131D0000}"/>
    <cellStyle name="Accent6 60 3" xfId="7444" xr:uid="{00000000-0005-0000-0000-0000141D0000}"/>
    <cellStyle name="Accent6 60 3 2" xfId="7445" xr:uid="{00000000-0005-0000-0000-0000151D0000}"/>
    <cellStyle name="Accent6 60 3 2 2" xfId="7446" xr:uid="{00000000-0005-0000-0000-0000161D0000}"/>
    <cellStyle name="Accent6 60 3 3" xfId="7447" xr:uid="{00000000-0005-0000-0000-0000171D0000}"/>
    <cellStyle name="Accent6 60 4" xfId="7448" xr:uid="{00000000-0005-0000-0000-0000181D0000}"/>
    <cellStyle name="Accent6 61" xfId="7449" xr:uid="{00000000-0005-0000-0000-0000191D0000}"/>
    <cellStyle name="Accent6 61 2" xfId="7450" xr:uid="{00000000-0005-0000-0000-00001A1D0000}"/>
    <cellStyle name="Accent6 61 2 2" xfId="7451" xr:uid="{00000000-0005-0000-0000-00001B1D0000}"/>
    <cellStyle name="Accent6 61 3" xfId="7452" xr:uid="{00000000-0005-0000-0000-00001C1D0000}"/>
    <cellStyle name="Accent6 61 3 2" xfId="7453" xr:uid="{00000000-0005-0000-0000-00001D1D0000}"/>
    <cellStyle name="Accent6 61 3 2 2" xfId="7454" xr:uid="{00000000-0005-0000-0000-00001E1D0000}"/>
    <cellStyle name="Accent6 61 3 3" xfId="7455" xr:uid="{00000000-0005-0000-0000-00001F1D0000}"/>
    <cellStyle name="Accent6 61 4" xfId="7456" xr:uid="{00000000-0005-0000-0000-0000201D0000}"/>
    <cellStyle name="Accent6 62" xfId="7457" xr:uid="{00000000-0005-0000-0000-0000211D0000}"/>
    <cellStyle name="Accent6 62 2" xfId="7458" xr:uid="{00000000-0005-0000-0000-0000221D0000}"/>
    <cellStyle name="Accent6 62 2 2" xfId="7459" xr:uid="{00000000-0005-0000-0000-0000231D0000}"/>
    <cellStyle name="Accent6 62 3" xfId="7460" xr:uid="{00000000-0005-0000-0000-0000241D0000}"/>
    <cellStyle name="Accent6 62 3 2" xfId="7461" xr:uid="{00000000-0005-0000-0000-0000251D0000}"/>
    <cellStyle name="Accent6 62 3 2 2" xfId="7462" xr:uid="{00000000-0005-0000-0000-0000261D0000}"/>
    <cellStyle name="Accent6 62 3 3" xfId="7463" xr:uid="{00000000-0005-0000-0000-0000271D0000}"/>
    <cellStyle name="Accent6 62 4" xfId="7464" xr:uid="{00000000-0005-0000-0000-0000281D0000}"/>
    <cellStyle name="Accent6 63" xfId="7465" xr:uid="{00000000-0005-0000-0000-0000291D0000}"/>
    <cellStyle name="Accent6 63 2" xfId="7466" xr:uid="{00000000-0005-0000-0000-00002A1D0000}"/>
    <cellStyle name="Accent6 63 2 2" xfId="7467" xr:uid="{00000000-0005-0000-0000-00002B1D0000}"/>
    <cellStyle name="Accent6 63 3" xfId="7468" xr:uid="{00000000-0005-0000-0000-00002C1D0000}"/>
    <cellStyle name="Accent6 63 3 2" xfId="7469" xr:uid="{00000000-0005-0000-0000-00002D1D0000}"/>
    <cellStyle name="Accent6 63 3 2 2" xfId="7470" xr:uid="{00000000-0005-0000-0000-00002E1D0000}"/>
    <cellStyle name="Accent6 63 3 3" xfId="7471" xr:uid="{00000000-0005-0000-0000-00002F1D0000}"/>
    <cellStyle name="Accent6 63 4" xfId="7472" xr:uid="{00000000-0005-0000-0000-0000301D0000}"/>
    <cellStyle name="Accent6 64" xfId="7473" xr:uid="{00000000-0005-0000-0000-0000311D0000}"/>
    <cellStyle name="Accent6 64 2" xfId="7474" xr:uid="{00000000-0005-0000-0000-0000321D0000}"/>
    <cellStyle name="Accent6 64 2 2" xfId="7475" xr:uid="{00000000-0005-0000-0000-0000331D0000}"/>
    <cellStyle name="Accent6 64 3" xfId="7476" xr:uid="{00000000-0005-0000-0000-0000341D0000}"/>
    <cellStyle name="Accent6 64 3 2" xfId="7477" xr:uid="{00000000-0005-0000-0000-0000351D0000}"/>
    <cellStyle name="Accent6 64 3 2 2" xfId="7478" xr:uid="{00000000-0005-0000-0000-0000361D0000}"/>
    <cellStyle name="Accent6 64 3 3" xfId="7479" xr:uid="{00000000-0005-0000-0000-0000371D0000}"/>
    <cellStyle name="Accent6 64 4" xfId="7480" xr:uid="{00000000-0005-0000-0000-0000381D0000}"/>
    <cellStyle name="Accent6 65" xfId="7481" xr:uid="{00000000-0005-0000-0000-0000391D0000}"/>
    <cellStyle name="Accent6 65 2" xfId="7482" xr:uid="{00000000-0005-0000-0000-00003A1D0000}"/>
    <cellStyle name="Accent6 65 2 2" xfId="7483" xr:uid="{00000000-0005-0000-0000-00003B1D0000}"/>
    <cellStyle name="Accent6 65 3" xfId="7484" xr:uid="{00000000-0005-0000-0000-00003C1D0000}"/>
    <cellStyle name="Accent6 65 3 2" xfId="7485" xr:uid="{00000000-0005-0000-0000-00003D1D0000}"/>
    <cellStyle name="Accent6 65 3 2 2" xfId="7486" xr:uid="{00000000-0005-0000-0000-00003E1D0000}"/>
    <cellStyle name="Accent6 65 3 3" xfId="7487" xr:uid="{00000000-0005-0000-0000-00003F1D0000}"/>
    <cellStyle name="Accent6 65 4" xfId="7488" xr:uid="{00000000-0005-0000-0000-0000401D0000}"/>
    <cellStyle name="Accent6 66" xfId="7489" xr:uid="{00000000-0005-0000-0000-0000411D0000}"/>
    <cellStyle name="Accent6 66 2" xfId="7490" xr:uid="{00000000-0005-0000-0000-0000421D0000}"/>
    <cellStyle name="Accent6 66 2 2" xfId="7491" xr:uid="{00000000-0005-0000-0000-0000431D0000}"/>
    <cellStyle name="Accent6 66 3" xfId="7492" xr:uid="{00000000-0005-0000-0000-0000441D0000}"/>
    <cellStyle name="Accent6 66 3 2" xfId="7493" xr:uid="{00000000-0005-0000-0000-0000451D0000}"/>
    <cellStyle name="Accent6 66 3 2 2" xfId="7494" xr:uid="{00000000-0005-0000-0000-0000461D0000}"/>
    <cellStyle name="Accent6 66 3 3" xfId="7495" xr:uid="{00000000-0005-0000-0000-0000471D0000}"/>
    <cellStyle name="Accent6 66 4" xfId="7496" xr:uid="{00000000-0005-0000-0000-0000481D0000}"/>
    <cellStyle name="Accent6 67" xfId="7497" xr:uid="{00000000-0005-0000-0000-0000491D0000}"/>
    <cellStyle name="Accent6 67 2" xfId="7498" xr:uid="{00000000-0005-0000-0000-00004A1D0000}"/>
    <cellStyle name="Accent6 67 2 2" xfId="7499" xr:uid="{00000000-0005-0000-0000-00004B1D0000}"/>
    <cellStyle name="Accent6 67 3" xfId="7500" xr:uid="{00000000-0005-0000-0000-00004C1D0000}"/>
    <cellStyle name="Accent6 67 3 2" xfId="7501" xr:uid="{00000000-0005-0000-0000-00004D1D0000}"/>
    <cellStyle name="Accent6 67 3 2 2" xfId="7502" xr:uid="{00000000-0005-0000-0000-00004E1D0000}"/>
    <cellStyle name="Accent6 67 3 3" xfId="7503" xr:uid="{00000000-0005-0000-0000-00004F1D0000}"/>
    <cellStyle name="Accent6 67 4" xfId="7504" xr:uid="{00000000-0005-0000-0000-0000501D0000}"/>
    <cellStyle name="Accent6 68" xfId="7505" xr:uid="{00000000-0005-0000-0000-0000511D0000}"/>
    <cellStyle name="Accent6 68 2" xfId="7506" xr:uid="{00000000-0005-0000-0000-0000521D0000}"/>
    <cellStyle name="Accent6 68 2 2" xfId="7507" xr:uid="{00000000-0005-0000-0000-0000531D0000}"/>
    <cellStyle name="Accent6 68 3" xfId="7508" xr:uid="{00000000-0005-0000-0000-0000541D0000}"/>
    <cellStyle name="Accent6 68 3 2" xfId="7509" xr:uid="{00000000-0005-0000-0000-0000551D0000}"/>
    <cellStyle name="Accent6 68 3 2 2" xfId="7510" xr:uid="{00000000-0005-0000-0000-0000561D0000}"/>
    <cellStyle name="Accent6 68 3 3" xfId="7511" xr:uid="{00000000-0005-0000-0000-0000571D0000}"/>
    <cellStyle name="Accent6 68 4" xfId="7512" xr:uid="{00000000-0005-0000-0000-0000581D0000}"/>
    <cellStyle name="Accent6 69" xfId="7513" xr:uid="{00000000-0005-0000-0000-0000591D0000}"/>
    <cellStyle name="Accent6 69 2" xfId="7514" xr:uid="{00000000-0005-0000-0000-00005A1D0000}"/>
    <cellStyle name="Accent6 69 2 2" xfId="7515" xr:uid="{00000000-0005-0000-0000-00005B1D0000}"/>
    <cellStyle name="Accent6 69 3" xfId="7516" xr:uid="{00000000-0005-0000-0000-00005C1D0000}"/>
    <cellStyle name="Accent6 69 3 2" xfId="7517" xr:uid="{00000000-0005-0000-0000-00005D1D0000}"/>
    <cellStyle name="Accent6 69 3 2 2" xfId="7518" xr:uid="{00000000-0005-0000-0000-00005E1D0000}"/>
    <cellStyle name="Accent6 69 3 3" xfId="7519" xr:uid="{00000000-0005-0000-0000-00005F1D0000}"/>
    <cellStyle name="Accent6 69 4" xfId="7520" xr:uid="{00000000-0005-0000-0000-0000601D0000}"/>
    <cellStyle name="Accent6 7" xfId="7521" xr:uid="{00000000-0005-0000-0000-0000611D0000}"/>
    <cellStyle name="Accent6 7 2" xfId="7522" xr:uid="{00000000-0005-0000-0000-0000621D0000}"/>
    <cellStyle name="Accent6 7 2 2" xfId="7523" xr:uid="{00000000-0005-0000-0000-0000631D0000}"/>
    <cellStyle name="Accent6 7 2 2 2" xfId="7524" xr:uid="{00000000-0005-0000-0000-0000641D0000}"/>
    <cellStyle name="Accent6 7 2 3" xfId="7525" xr:uid="{00000000-0005-0000-0000-0000651D0000}"/>
    <cellStyle name="Accent6 7 2 3 2" xfId="7526" xr:uid="{00000000-0005-0000-0000-0000661D0000}"/>
    <cellStyle name="Accent6 7 2 3 2 2" xfId="7527" xr:uid="{00000000-0005-0000-0000-0000671D0000}"/>
    <cellStyle name="Accent6 7 2 3 3" xfId="7528" xr:uid="{00000000-0005-0000-0000-0000681D0000}"/>
    <cellStyle name="Accent6 7 2 4" xfId="7529" xr:uid="{00000000-0005-0000-0000-0000691D0000}"/>
    <cellStyle name="Accent6 7 3" xfId="7530" xr:uid="{00000000-0005-0000-0000-00006A1D0000}"/>
    <cellStyle name="Accent6 7 3 2" xfId="7531" xr:uid="{00000000-0005-0000-0000-00006B1D0000}"/>
    <cellStyle name="Accent6 7 4" xfId="7532" xr:uid="{00000000-0005-0000-0000-00006C1D0000}"/>
    <cellStyle name="Accent6 7 4 2" xfId="7533" xr:uid="{00000000-0005-0000-0000-00006D1D0000}"/>
    <cellStyle name="Accent6 7 4 2 2" xfId="7534" xr:uid="{00000000-0005-0000-0000-00006E1D0000}"/>
    <cellStyle name="Accent6 7 4 3" xfId="7535" xr:uid="{00000000-0005-0000-0000-00006F1D0000}"/>
    <cellStyle name="Accent6 7 5" xfId="7536" xr:uid="{00000000-0005-0000-0000-0000701D0000}"/>
    <cellStyle name="Accent6 70" xfId="7537" xr:uid="{00000000-0005-0000-0000-0000711D0000}"/>
    <cellStyle name="Accent6 70 2" xfId="7538" xr:uid="{00000000-0005-0000-0000-0000721D0000}"/>
    <cellStyle name="Accent6 70 2 2" xfId="7539" xr:uid="{00000000-0005-0000-0000-0000731D0000}"/>
    <cellStyle name="Accent6 70 3" xfId="7540" xr:uid="{00000000-0005-0000-0000-0000741D0000}"/>
    <cellStyle name="Accent6 70 3 2" xfId="7541" xr:uid="{00000000-0005-0000-0000-0000751D0000}"/>
    <cellStyle name="Accent6 70 3 2 2" xfId="7542" xr:uid="{00000000-0005-0000-0000-0000761D0000}"/>
    <cellStyle name="Accent6 70 3 3" xfId="7543" xr:uid="{00000000-0005-0000-0000-0000771D0000}"/>
    <cellStyle name="Accent6 70 4" xfId="7544" xr:uid="{00000000-0005-0000-0000-0000781D0000}"/>
    <cellStyle name="Accent6 71" xfId="7545" xr:uid="{00000000-0005-0000-0000-0000791D0000}"/>
    <cellStyle name="Accent6 71 2" xfId="7546" xr:uid="{00000000-0005-0000-0000-00007A1D0000}"/>
    <cellStyle name="Accent6 71 2 2" xfId="7547" xr:uid="{00000000-0005-0000-0000-00007B1D0000}"/>
    <cellStyle name="Accent6 71 3" xfId="7548" xr:uid="{00000000-0005-0000-0000-00007C1D0000}"/>
    <cellStyle name="Accent6 71 3 2" xfId="7549" xr:uid="{00000000-0005-0000-0000-00007D1D0000}"/>
    <cellStyle name="Accent6 71 3 2 2" xfId="7550" xr:uid="{00000000-0005-0000-0000-00007E1D0000}"/>
    <cellStyle name="Accent6 71 3 3" xfId="7551" xr:uid="{00000000-0005-0000-0000-00007F1D0000}"/>
    <cellStyle name="Accent6 71 4" xfId="7552" xr:uid="{00000000-0005-0000-0000-0000801D0000}"/>
    <cellStyle name="Accent6 72" xfId="7553" xr:uid="{00000000-0005-0000-0000-0000811D0000}"/>
    <cellStyle name="Accent6 72 2" xfId="7554" xr:uid="{00000000-0005-0000-0000-0000821D0000}"/>
    <cellStyle name="Accent6 72 2 2" xfId="7555" xr:uid="{00000000-0005-0000-0000-0000831D0000}"/>
    <cellStyle name="Accent6 72 3" xfId="7556" xr:uid="{00000000-0005-0000-0000-0000841D0000}"/>
    <cellStyle name="Accent6 72 3 2" xfId="7557" xr:uid="{00000000-0005-0000-0000-0000851D0000}"/>
    <cellStyle name="Accent6 72 3 2 2" xfId="7558" xr:uid="{00000000-0005-0000-0000-0000861D0000}"/>
    <cellStyle name="Accent6 72 3 3" xfId="7559" xr:uid="{00000000-0005-0000-0000-0000871D0000}"/>
    <cellStyle name="Accent6 72 4" xfId="7560" xr:uid="{00000000-0005-0000-0000-0000881D0000}"/>
    <cellStyle name="Accent6 73" xfId="7561" xr:uid="{00000000-0005-0000-0000-0000891D0000}"/>
    <cellStyle name="Accent6 73 2" xfId="7562" xr:uid="{00000000-0005-0000-0000-00008A1D0000}"/>
    <cellStyle name="Accent6 73 2 2" xfId="7563" xr:uid="{00000000-0005-0000-0000-00008B1D0000}"/>
    <cellStyle name="Accent6 73 3" xfId="7564" xr:uid="{00000000-0005-0000-0000-00008C1D0000}"/>
    <cellStyle name="Accent6 73 3 2" xfId="7565" xr:uid="{00000000-0005-0000-0000-00008D1D0000}"/>
    <cellStyle name="Accent6 73 3 2 2" xfId="7566" xr:uid="{00000000-0005-0000-0000-00008E1D0000}"/>
    <cellStyle name="Accent6 73 3 3" xfId="7567" xr:uid="{00000000-0005-0000-0000-00008F1D0000}"/>
    <cellStyle name="Accent6 73 4" xfId="7568" xr:uid="{00000000-0005-0000-0000-0000901D0000}"/>
    <cellStyle name="Accent6 74" xfId="7569" xr:uid="{00000000-0005-0000-0000-0000911D0000}"/>
    <cellStyle name="Accent6 74 2" xfId="7570" xr:uid="{00000000-0005-0000-0000-0000921D0000}"/>
    <cellStyle name="Accent6 74 2 2" xfId="7571" xr:uid="{00000000-0005-0000-0000-0000931D0000}"/>
    <cellStyle name="Accent6 74 3" xfId="7572" xr:uid="{00000000-0005-0000-0000-0000941D0000}"/>
    <cellStyle name="Accent6 74 3 2" xfId="7573" xr:uid="{00000000-0005-0000-0000-0000951D0000}"/>
    <cellStyle name="Accent6 74 3 2 2" xfId="7574" xr:uid="{00000000-0005-0000-0000-0000961D0000}"/>
    <cellStyle name="Accent6 74 3 3" xfId="7575" xr:uid="{00000000-0005-0000-0000-0000971D0000}"/>
    <cellStyle name="Accent6 74 4" xfId="7576" xr:uid="{00000000-0005-0000-0000-0000981D0000}"/>
    <cellStyle name="Accent6 75" xfId="7577" xr:uid="{00000000-0005-0000-0000-0000991D0000}"/>
    <cellStyle name="Accent6 75 2" xfId="7578" xr:uid="{00000000-0005-0000-0000-00009A1D0000}"/>
    <cellStyle name="Accent6 75 2 2" xfId="7579" xr:uid="{00000000-0005-0000-0000-00009B1D0000}"/>
    <cellStyle name="Accent6 75 3" xfId="7580" xr:uid="{00000000-0005-0000-0000-00009C1D0000}"/>
    <cellStyle name="Accent6 75 3 2" xfId="7581" xr:uid="{00000000-0005-0000-0000-00009D1D0000}"/>
    <cellStyle name="Accent6 75 3 2 2" xfId="7582" xr:uid="{00000000-0005-0000-0000-00009E1D0000}"/>
    <cellStyle name="Accent6 75 3 3" xfId="7583" xr:uid="{00000000-0005-0000-0000-00009F1D0000}"/>
    <cellStyle name="Accent6 75 4" xfId="7584" xr:uid="{00000000-0005-0000-0000-0000A01D0000}"/>
    <cellStyle name="Accent6 76" xfId="7585" xr:uid="{00000000-0005-0000-0000-0000A11D0000}"/>
    <cellStyle name="Accent6 76 2" xfId="7586" xr:uid="{00000000-0005-0000-0000-0000A21D0000}"/>
    <cellStyle name="Accent6 76 2 2" xfId="7587" xr:uid="{00000000-0005-0000-0000-0000A31D0000}"/>
    <cellStyle name="Accent6 76 3" xfId="7588" xr:uid="{00000000-0005-0000-0000-0000A41D0000}"/>
    <cellStyle name="Accent6 76 3 2" xfId="7589" xr:uid="{00000000-0005-0000-0000-0000A51D0000}"/>
    <cellStyle name="Accent6 76 3 2 2" xfId="7590" xr:uid="{00000000-0005-0000-0000-0000A61D0000}"/>
    <cellStyle name="Accent6 76 3 3" xfId="7591" xr:uid="{00000000-0005-0000-0000-0000A71D0000}"/>
    <cellStyle name="Accent6 76 4" xfId="7592" xr:uid="{00000000-0005-0000-0000-0000A81D0000}"/>
    <cellStyle name="Accent6 77" xfId="7593" xr:uid="{00000000-0005-0000-0000-0000A91D0000}"/>
    <cellStyle name="Accent6 77 2" xfId="7594" xr:uid="{00000000-0005-0000-0000-0000AA1D0000}"/>
    <cellStyle name="Accent6 77 2 2" xfId="7595" xr:uid="{00000000-0005-0000-0000-0000AB1D0000}"/>
    <cellStyle name="Accent6 77 3" xfId="7596" xr:uid="{00000000-0005-0000-0000-0000AC1D0000}"/>
    <cellStyle name="Accent6 77 3 2" xfId="7597" xr:uid="{00000000-0005-0000-0000-0000AD1D0000}"/>
    <cellStyle name="Accent6 77 3 2 2" xfId="7598" xr:uid="{00000000-0005-0000-0000-0000AE1D0000}"/>
    <cellStyle name="Accent6 77 3 3" xfId="7599" xr:uid="{00000000-0005-0000-0000-0000AF1D0000}"/>
    <cellStyle name="Accent6 77 4" xfId="7600" xr:uid="{00000000-0005-0000-0000-0000B01D0000}"/>
    <cellStyle name="Accent6 78" xfId="7601" xr:uid="{00000000-0005-0000-0000-0000B11D0000}"/>
    <cellStyle name="Accent6 78 2" xfId="7602" xr:uid="{00000000-0005-0000-0000-0000B21D0000}"/>
    <cellStyle name="Accent6 78 2 2" xfId="7603" xr:uid="{00000000-0005-0000-0000-0000B31D0000}"/>
    <cellStyle name="Accent6 78 3" xfId="7604" xr:uid="{00000000-0005-0000-0000-0000B41D0000}"/>
    <cellStyle name="Accent6 78 3 2" xfId="7605" xr:uid="{00000000-0005-0000-0000-0000B51D0000}"/>
    <cellStyle name="Accent6 78 3 2 2" xfId="7606" xr:uid="{00000000-0005-0000-0000-0000B61D0000}"/>
    <cellStyle name="Accent6 78 3 3" xfId="7607" xr:uid="{00000000-0005-0000-0000-0000B71D0000}"/>
    <cellStyle name="Accent6 78 4" xfId="7608" xr:uid="{00000000-0005-0000-0000-0000B81D0000}"/>
    <cellStyle name="Accent6 79" xfId="7609" xr:uid="{00000000-0005-0000-0000-0000B91D0000}"/>
    <cellStyle name="Accent6 79 2" xfId="7610" xr:uid="{00000000-0005-0000-0000-0000BA1D0000}"/>
    <cellStyle name="Accent6 79 2 2" xfId="7611" xr:uid="{00000000-0005-0000-0000-0000BB1D0000}"/>
    <cellStyle name="Accent6 79 3" xfId="7612" xr:uid="{00000000-0005-0000-0000-0000BC1D0000}"/>
    <cellStyle name="Accent6 79 3 2" xfId="7613" xr:uid="{00000000-0005-0000-0000-0000BD1D0000}"/>
    <cellStyle name="Accent6 79 3 2 2" xfId="7614" xr:uid="{00000000-0005-0000-0000-0000BE1D0000}"/>
    <cellStyle name="Accent6 79 3 3" xfId="7615" xr:uid="{00000000-0005-0000-0000-0000BF1D0000}"/>
    <cellStyle name="Accent6 79 4" xfId="7616" xr:uid="{00000000-0005-0000-0000-0000C01D0000}"/>
    <cellStyle name="Accent6 8" xfId="7617" xr:uid="{00000000-0005-0000-0000-0000C11D0000}"/>
    <cellStyle name="Accent6 8 2" xfId="7618" xr:uid="{00000000-0005-0000-0000-0000C21D0000}"/>
    <cellStyle name="Accent6 8 2 2" xfId="7619" xr:uid="{00000000-0005-0000-0000-0000C31D0000}"/>
    <cellStyle name="Accent6 8 3" xfId="7620" xr:uid="{00000000-0005-0000-0000-0000C41D0000}"/>
    <cellStyle name="Accent6 80" xfId="7621" xr:uid="{00000000-0005-0000-0000-0000C51D0000}"/>
    <cellStyle name="Accent6 80 2" xfId="7622" xr:uid="{00000000-0005-0000-0000-0000C61D0000}"/>
    <cellStyle name="Accent6 80 2 2" xfId="7623" xr:uid="{00000000-0005-0000-0000-0000C71D0000}"/>
    <cellStyle name="Accent6 80 3" xfId="7624" xr:uid="{00000000-0005-0000-0000-0000C81D0000}"/>
    <cellStyle name="Accent6 80 3 2" xfId="7625" xr:uid="{00000000-0005-0000-0000-0000C91D0000}"/>
    <cellStyle name="Accent6 80 3 2 2" xfId="7626" xr:uid="{00000000-0005-0000-0000-0000CA1D0000}"/>
    <cellStyle name="Accent6 80 3 3" xfId="7627" xr:uid="{00000000-0005-0000-0000-0000CB1D0000}"/>
    <cellStyle name="Accent6 80 4" xfId="7628" xr:uid="{00000000-0005-0000-0000-0000CC1D0000}"/>
    <cellStyle name="Accent6 81" xfId="7629" xr:uid="{00000000-0005-0000-0000-0000CD1D0000}"/>
    <cellStyle name="Accent6 81 2" xfId="7630" xr:uid="{00000000-0005-0000-0000-0000CE1D0000}"/>
    <cellStyle name="Accent6 81 2 2" xfId="7631" xr:uid="{00000000-0005-0000-0000-0000CF1D0000}"/>
    <cellStyle name="Accent6 81 3" xfId="7632" xr:uid="{00000000-0005-0000-0000-0000D01D0000}"/>
    <cellStyle name="Accent6 81 3 2" xfId="7633" xr:uid="{00000000-0005-0000-0000-0000D11D0000}"/>
    <cellStyle name="Accent6 81 3 2 2" xfId="7634" xr:uid="{00000000-0005-0000-0000-0000D21D0000}"/>
    <cellStyle name="Accent6 81 3 3" xfId="7635" xr:uid="{00000000-0005-0000-0000-0000D31D0000}"/>
    <cellStyle name="Accent6 81 4" xfId="7636" xr:uid="{00000000-0005-0000-0000-0000D41D0000}"/>
    <cellStyle name="Accent6 82" xfId="7637" xr:uid="{00000000-0005-0000-0000-0000D51D0000}"/>
    <cellStyle name="Accent6 82 2" xfId="7638" xr:uid="{00000000-0005-0000-0000-0000D61D0000}"/>
    <cellStyle name="Accent6 82 2 2" xfId="7639" xr:uid="{00000000-0005-0000-0000-0000D71D0000}"/>
    <cellStyle name="Accent6 82 3" xfId="7640" xr:uid="{00000000-0005-0000-0000-0000D81D0000}"/>
    <cellStyle name="Accent6 82 3 2" xfId="7641" xr:uid="{00000000-0005-0000-0000-0000D91D0000}"/>
    <cellStyle name="Accent6 82 3 2 2" xfId="7642" xr:uid="{00000000-0005-0000-0000-0000DA1D0000}"/>
    <cellStyle name="Accent6 82 3 3" xfId="7643" xr:uid="{00000000-0005-0000-0000-0000DB1D0000}"/>
    <cellStyle name="Accent6 82 4" xfId="7644" xr:uid="{00000000-0005-0000-0000-0000DC1D0000}"/>
    <cellStyle name="Accent6 83" xfId="7645" xr:uid="{00000000-0005-0000-0000-0000DD1D0000}"/>
    <cellStyle name="Accent6 83 2" xfId="7646" xr:uid="{00000000-0005-0000-0000-0000DE1D0000}"/>
    <cellStyle name="Accent6 83 2 2" xfId="7647" xr:uid="{00000000-0005-0000-0000-0000DF1D0000}"/>
    <cellStyle name="Accent6 83 3" xfId="7648" xr:uid="{00000000-0005-0000-0000-0000E01D0000}"/>
    <cellStyle name="Accent6 83 3 2" xfId="7649" xr:uid="{00000000-0005-0000-0000-0000E11D0000}"/>
    <cellStyle name="Accent6 83 3 2 2" xfId="7650" xr:uid="{00000000-0005-0000-0000-0000E21D0000}"/>
    <cellStyle name="Accent6 83 3 3" xfId="7651" xr:uid="{00000000-0005-0000-0000-0000E31D0000}"/>
    <cellStyle name="Accent6 83 4" xfId="7652" xr:uid="{00000000-0005-0000-0000-0000E41D0000}"/>
    <cellStyle name="Accent6 84" xfId="7653" xr:uid="{00000000-0005-0000-0000-0000E51D0000}"/>
    <cellStyle name="Accent6 84 2" xfId="7654" xr:uid="{00000000-0005-0000-0000-0000E61D0000}"/>
    <cellStyle name="Accent6 84 2 2" xfId="7655" xr:uid="{00000000-0005-0000-0000-0000E71D0000}"/>
    <cellStyle name="Accent6 84 3" xfId="7656" xr:uid="{00000000-0005-0000-0000-0000E81D0000}"/>
    <cellStyle name="Accent6 85" xfId="7657" xr:uid="{00000000-0005-0000-0000-0000E91D0000}"/>
    <cellStyle name="Accent6 85 2" xfId="7658" xr:uid="{00000000-0005-0000-0000-0000EA1D0000}"/>
    <cellStyle name="Accent6 85 2 2" xfId="7659" xr:uid="{00000000-0005-0000-0000-0000EB1D0000}"/>
    <cellStyle name="Accent6 85 3" xfId="7660" xr:uid="{00000000-0005-0000-0000-0000EC1D0000}"/>
    <cellStyle name="Accent6 86" xfId="7661" xr:uid="{00000000-0005-0000-0000-0000ED1D0000}"/>
    <cellStyle name="Accent6 86 2" xfId="7662" xr:uid="{00000000-0005-0000-0000-0000EE1D0000}"/>
    <cellStyle name="Accent6 86 2 2" xfId="7663" xr:uid="{00000000-0005-0000-0000-0000EF1D0000}"/>
    <cellStyle name="Accent6 86 3" xfId="7664" xr:uid="{00000000-0005-0000-0000-0000F01D0000}"/>
    <cellStyle name="Accent6 87" xfId="7665" xr:uid="{00000000-0005-0000-0000-0000F11D0000}"/>
    <cellStyle name="Accent6 87 2" xfId="7666" xr:uid="{00000000-0005-0000-0000-0000F21D0000}"/>
    <cellStyle name="Accent6 87 2 2" xfId="7667" xr:uid="{00000000-0005-0000-0000-0000F31D0000}"/>
    <cellStyle name="Accent6 87 3" xfId="7668" xr:uid="{00000000-0005-0000-0000-0000F41D0000}"/>
    <cellStyle name="Accent6 88" xfId="7669" xr:uid="{00000000-0005-0000-0000-0000F51D0000}"/>
    <cellStyle name="Accent6 88 2" xfId="7670" xr:uid="{00000000-0005-0000-0000-0000F61D0000}"/>
    <cellStyle name="Accent6 88 2 2" xfId="7671" xr:uid="{00000000-0005-0000-0000-0000F71D0000}"/>
    <cellStyle name="Accent6 88 3" xfId="7672" xr:uid="{00000000-0005-0000-0000-0000F81D0000}"/>
    <cellStyle name="Accent6 89" xfId="7673" xr:uid="{00000000-0005-0000-0000-0000F91D0000}"/>
    <cellStyle name="Accent6 89 2" xfId="7674" xr:uid="{00000000-0005-0000-0000-0000FA1D0000}"/>
    <cellStyle name="Accent6 89 2 2" xfId="7675" xr:uid="{00000000-0005-0000-0000-0000FB1D0000}"/>
    <cellStyle name="Accent6 89 3" xfId="7676" xr:uid="{00000000-0005-0000-0000-0000FC1D0000}"/>
    <cellStyle name="Accent6 9" xfId="7677" xr:uid="{00000000-0005-0000-0000-0000FD1D0000}"/>
    <cellStyle name="Accent6 9 2" xfId="7678" xr:uid="{00000000-0005-0000-0000-0000FE1D0000}"/>
    <cellStyle name="Accent6 9 2 2" xfId="7679" xr:uid="{00000000-0005-0000-0000-0000FF1D0000}"/>
    <cellStyle name="Accent6 9 3" xfId="7680" xr:uid="{00000000-0005-0000-0000-0000001E0000}"/>
    <cellStyle name="Accent6 90" xfId="7681" xr:uid="{00000000-0005-0000-0000-0000011E0000}"/>
    <cellStyle name="Accent6 90 2" xfId="7682" xr:uid="{00000000-0005-0000-0000-0000021E0000}"/>
    <cellStyle name="Accent6 90 2 2" xfId="7683" xr:uid="{00000000-0005-0000-0000-0000031E0000}"/>
    <cellStyle name="Accent6 90 3" xfId="7684" xr:uid="{00000000-0005-0000-0000-0000041E0000}"/>
    <cellStyle name="Accent6 91" xfId="7685" xr:uid="{00000000-0005-0000-0000-0000051E0000}"/>
    <cellStyle name="Accent6 91 2" xfId="7686" xr:uid="{00000000-0005-0000-0000-0000061E0000}"/>
    <cellStyle name="Accent6 91 2 2" xfId="7687" xr:uid="{00000000-0005-0000-0000-0000071E0000}"/>
    <cellStyle name="Accent6 91 3" xfId="7688" xr:uid="{00000000-0005-0000-0000-0000081E0000}"/>
    <cellStyle name="Accent6 92" xfId="7689" xr:uid="{00000000-0005-0000-0000-0000091E0000}"/>
    <cellStyle name="Accent6 92 2" xfId="7690" xr:uid="{00000000-0005-0000-0000-00000A1E0000}"/>
    <cellStyle name="Accent6 92 2 2" xfId="7691" xr:uid="{00000000-0005-0000-0000-00000B1E0000}"/>
    <cellStyle name="Accent6 92 3" xfId="7692" xr:uid="{00000000-0005-0000-0000-00000C1E0000}"/>
    <cellStyle name="Accent6 93" xfId="7693" xr:uid="{00000000-0005-0000-0000-00000D1E0000}"/>
    <cellStyle name="Accent6 93 2" xfId="7694" xr:uid="{00000000-0005-0000-0000-00000E1E0000}"/>
    <cellStyle name="Accent6 93 2 2" xfId="7695" xr:uid="{00000000-0005-0000-0000-00000F1E0000}"/>
    <cellStyle name="Accent6 93 3" xfId="7696" xr:uid="{00000000-0005-0000-0000-0000101E0000}"/>
    <cellStyle name="Accent6 94" xfId="7697" xr:uid="{00000000-0005-0000-0000-0000111E0000}"/>
    <cellStyle name="Accent6 94 2" xfId="7698" xr:uid="{00000000-0005-0000-0000-0000121E0000}"/>
    <cellStyle name="Accent6 94 2 2" xfId="7699" xr:uid="{00000000-0005-0000-0000-0000131E0000}"/>
    <cellStyle name="Accent6 94 3" xfId="7700" xr:uid="{00000000-0005-0000-0000-0000141E0000}"/>
    <cellStyle name="Accent6 95" xfId="7701" xr:uid="{00000000-0005-0000-0000-0000151E0000}"/>
    <cellStyle name="Accent6 95 2" xfId="7702" xr:uid="{00000000-0005-0000-0000-0000161E0000}"/>
    <cellStyle name="Accent6 95 2 2" xfId="7703" xr:uid="{00000000-0005-0000-0000-0000171E0000}"/>
    <cellStyle name="Accent6 95 3" xfId="7704" xr:uid="{00000000-0005-0000-0000-0000181E0000}"/>
    <cellStyle name="Accent6 96" xfId="7705" xr:uid="{00000000-0005-0000-0000-0000191E0000}"/>
    <cellStyle name="Accent6 96 2" xfId="7706" xr:uid="{00000000-0005-0000-0000-00001A1E0000}"/>
    <cellStyle name="Accent6 96 2 2" xfId="7707" xr:uid="{00000000-0005-0000-0000-00001B1E0000}"/>
    <cellStyle name="Accent6 96 3" xfId="7708" xr:uid="{00000000-0005-0000-0000-00001C1E0000}"/>
    <cellStyle name="Accent6 97" xfId="7709" xr:uid="{00000000-0005-0000-0000-00001D1E0000}"/>
    <cellStyle name="Accent6 97 2" xfId="7710" xr:uid="{00000000-0005-0000-0000-00001E1E0000}"/>
    <cellStyle name="Accent6 97 2 2" xfId="7711" xr:uid="{00000000-0005-0000-0000-00001F1E0000}"/>
    <cellStyle name="Accent6 97 3" xfId="7712" xr:uid="{00000000-0005-0000-0000-0000201E0000}"/>
    <cellStyle name="Accent6 98" xfId="7713" xr:uid="{00000000-0005-0000-0000-0000211E0000}"/>
    <cellStyle name="Accent6 98 2" xfId="7714" xr:uid="{00000000-0005-0000-0000-0000221E0000}"/>
    <cellStyle name="Accent6 98 2 2" xfId="7715" xr:uid="{00000000-0005-0000-0000-0000231E0000}"/>
    <cellStyle name="Accent6 98 3" xfId="7716" xr:uid="{00000000-0005-0000-0000-0000241E0000}"/>
    <cellStyle name="Accent6 99" xfId="7717" xr:uid="{00000000-0005-0000-0000-0000251E0000}"/>
    <cellStyle name="Accent6 99 2" xfId="7718" xr:uid="{00000000-0005-0000-0000-0000261E0000}"/>
    <cellStyle name="Accent6 99 2 2" xfId="7719" xr:uid="{00000000-0005-0000-0000-0000271E0000}"/>
    <cellStyle name="Accent6 99 3" xfId="7720" xr:uid="{00000000-0005-0000-0000-0000281E0000}"/>
    <cellStyle name="active" xfId="7721" xr:uid="{00000000-0005-0000-0000-0000291E0000}"/>
    <cellStyle name="active 2" xfId="7722" xr:uid="{00000000-0005-0000-0000-00002A1E0000}"/>
    <cellStyle name="active 2 2" xfId="7723" xr:uid="{00000000-0005-0000-0000-00002B1E0000}"/>
    <cellStyle name="active 2 2 2" xfId="7724" xr:uid="{00000000-0005-0000-0000-00002C1E0000}"/>
    <cellStyle name="active 2 3" xfId="7725" xr:uid="{00000000-0005-0000-0000-00002D1E0000}"/>
    <cellStyle name="active 2 3 2" xfId="7726" xr:uid="{00000000-0005-0000-0000-00002E1E0000}"/>
    <cellStyle name="active 2 3 2 2" xfId="7727" xr:uid="{00000000-0005-0000-0000-00002F1E0000}"/>
    <cellStyle name="active 2 3 3" xfId="7728" xr:uid="{00000000-0005-0000-0000-0000301E0000}"/>
    <cellStyle name="active 2 4" xfId="7729" xr:uid="{00000000-0005-0000-0000-0000311E0000}"/>
    <cellStyle name="active 3" xfId="7730" xr:uid="{00000000-0005-0000-0000-0000321E0000}"/>
    <cellStyle name="active 3 2" xfId="7731" xr:uid="{00000000-0005-0000-0000-0000331E0000}"/>
    <cellStyle name="active 3 2 2" xfId="7732" xr:uid="{00000000-0005-0000-0000-0000341E0000}"/>
    <cellStyle name="active 3 3" xfId="7733" xr:uid="{00000000-0005-0000-0000-0000351E0000}"/>
    <cellStyle name="active 4" xfId="7734" xr:uid="{00000000-0005-0000-0000-0000361E0000}"/>
    <cellStyle name="active 4 2" xfId="7735" xr:uid="{00000000-0005-0000-0000-0000371E0000}"/>
    <cellStyle name="active 5" xfId="7736" xr:uid="{00000000-0005-0000-0000-0000381E0000}"/>
    <cellStyle name="active 5 2" xfId="7737" xr:uid="{00000000-0005-0000-0000-0000391E0000}"/>
    <cellStyle name="active 6" xfId="7738" xr:uid="{00000000-0005-0000-0000-00003A1E0000}"/>
    <cellStyle name="Actual Date" xfId="7739" xr:uid="{00000000-0005-0000-0000-00003B1E0000}"/>
    <cellStyle name="Actual Date 2" xfId="7740" xr:uid="{00000000-0005-0000-0000-00003C1E0000}"/>
    <cellStyle name="Actual Date 2 2" xfId="7741" xr:uid="{00000000-0005-0000-0000-00003D1E0000}"/>
    <cellStyle name="Actual Date 3" xfId="7742" xr:uid="{00000000-0005-0000-0000-00003E1E0000}"/>
    <cellStyle name="Actual Date 3 2" xfId="7743" xr:uid="{00000000-0005-0000-0000-00003F1E0000}"/>
    <cellStyle name="Actual Date 4" xfId="7744" xr:uid="{00000000-0005-0000-0000-0000401E0000}"/>
    <cellStyle name="Actual Date 5" xfId="7745" xr:uid="{00000000-0005-0000-0000-0000411E0000}"/>
    <cellStyle name="args.style" xfId="7746" xr:uid="{00000000-0005-0000-0000-0000421E0000}"/>
    <cellStyle name="args.style 2" xfId="7747" xr:uid="{00000000-0005-0000-0000-0000431E0000}"/>
    <cellStyle name="args.style 2 2" xfId="7748" xr:uid="{00000000-0005-0000-0000-0000441E0000}"/>
    <cellStyle name="args.style 2 2 2" xfId="7749" xr:uid="{00000000-0005-0000-0000-0000451E0000}"/>
    <cellStyle name="args.style 2 3" xfId="7750" xr:uid="{00000000-0005-0000-0000-0000461E0000}"/>
    <cellStyle name="args.style 2 3 2" xfId="7751" xr:uid="{00000000-0005-0000-0000-0000471E0000}"/>
    <cellStyle name="args.style 2 3 2 2" xfId="7752" xr:uid="{00000000-0005-0000-0000-0000481E0000}"/>
    <cellStyle name="args.style 2 3 3" xfId="7753" xr:uid="{00000000-0005-0000-0000-0000491E0000}"/>
    <cellStyle name="args.style 2 4" xfId="7754" xr:uid="{00000000-0005-0000-0000-00004A1E0000}"/>
    <cellStyle name="args.style 3" xfId="7755" xr:uid="{00000000-0005-0000-0000-00004B1E0000}"/>
    <cellStyle name="args.style 3 2" xfId="7756" xr:uid="{00000000-0005-0000-0000-00004C1E0000}"/>
    <cellStyle name="args.style 3 2 2" xfId="7757" xr:uid="{00000000-0005-0000-0000-00004D1E0000}"/>
    <cellStyle name="args.style 3 3" xfId="7758" xr:uid="{00000000-0005-0000-0000-00004E1E0000}"/>
    <cellStyle name="args.style 4" xfId="7759" xr:uid="{00000000-0005-0000-0000-00004F1E0000}"/>
    <cellStyle name="args.style 4 2" xfId="7760" xr:uid="{00000000-0005-0000-0000-0000501E0000}"/>
    <cellStyle name="args.style 4 2 2" xfId="7761" xr:uid="{00000000-0005-0000-0000-0000511E0000}"/>
    <cellStyle name="args.style 4 3" xfId="7762" xr:uid="{00000000-0005-0000-0000-0000521E0000}"/>
    <cellStyle name="args.style 5" xfId="7763" xr:uid="{00000000-0005-0000-0000-0000531E0000}"/>
    <cellStyle name="args.style 5 2" xfId="7764" xr:uid="{00000000-0005-0000-0000-0000541E0000}"/>
    <cellStyle name="args.style 6" xfId="7765" xr:uid="{00000000-0005-0000-0000-0000551E0000}"/>
    <cellStyle name="args.style 6 2" xfId="7766" xr:uid="{00000000-0005-0000-0000-0000561E0000}"/>
    <cellStyle name="args.style 7" xfId="7767" xr:uid="{00000000-0005-0000-0000-0000571E0000}"/>
    <cellStyle name="Bad 2" xfId="7768" xr:uid="{00000000-0005-0000-0000-0000581E0000}"/>
    <cellStyle name="Bad 2 10" xfId="7769" xr:uid="{00000000-0005-0000-0000-0000591E0000}"/>
    <cellStyle name="Bad 2 10 2" xfId="7770" xr:uid="{00000000-0005-0000-0000-00005A1E0000}"/>
    <cellStyle name="Bad 2 11" xfId="7771" xr:uid="{00000000-0005-0000-0000-00005B1E0000}"/>
    <cellStyle name="Bad 2 12" xfId="7772" xr:uid="{00000000-0005-0000-0000-00005C1E0000}"/>
    <cellStyle name="Bad 2 2" xfId="7773" xr:uid="{00000000-0005-0000-0000-00005D1E0000}"/>
    <cellStyle name="Bad 2 2 2" xfId="7774" xr:uid="{00000000-0005-0000-0000-00005E1E0000}"/>
    <cellStyle name="Bad 2 2 2 2" xfId="7775" xr:uid="{00000000-0005-0000-0000-00005F1E0000}"/>
    <cellStyle name="Bad 2 2 3" xfId="7776" xr:uid="{00000000-0005-0000-0000-0000601E0000}"/>
    <cellStyle name="Bad 2 2 3 2" xfId="7777" xr:uid="{00000000-0005-0000-0000-0000611E0000}"/>
    <cellStyle name="Bad 2 2 3 2 2" xfId="7778" xr:uid="{00000000-0005-0000-0000-0000621E0000}"/>
    <cellStyle name="Bad 2 2 3 3" xfId="7779" xr:uid="{00000000-0005-0000-0000-0000631E0000}"/>
    <cellStyle name="Bad 2 2 4" xfId="7780" xr:uid="{00000000-0005-0000-0000-0000641E0000}"/>
    <cellStyle name="Bad 2 2 4 2" xfId="7781" xr:uid="{00000000-0005-0000-0000-0000651E0000}"/>
    <cellStyle name="Bad 2 2 5" xfId="7782" xr:uid="{00000000-0005-0000-0000-0000661E0000}"/>
    <cellStyle name="Bad 2 3" xfId="7783" xr:uid="{00000000-0005-0000-0000-0000671E0000}"/>
    <cellStyle name="Bad 2 3 2" xfId="7784" xr:uid="{00000000-0005-0000-0000-0000681E0000}"/>
    <cellStyle name="Bad 2 3 2 2" xfId="7785" xr:uid="{00000000-0005-0000-0000-0000691E0000}"/>
    <cellStyle name="Bad 2 3 3" xfId="7786" xr:uid="{00000000-0005-0000-0000-00006A1E0000}"/>
    <cellStyle name="Bad 2 3 3 2" xfId="7787" xr:uid="{00000000-0005-0000-0000-00006B1E0000}"/>
    <cellStyle name="Bad 2 3 3 2 2" xfId="7788" xr:uid="{00000000-0005-0000-0000-00006C1E0000}"/>
    <cellStyle name="Bad 2 3 3 3" xfId="7789" xr:uid="{00000000-0005-0000-0000-00006D1E0000}"/>
    <cellStyle name="Bad 2 3 4" xfId="7790" xr:uid="{00000000-0005-0000-0000-00006E1E0000}"/>
    <cellStyle name="Bad 2 4" xfId="7791" xr:uid="{00000000-0005-0000-0000-00006F1E0000}"/>
    <cellStyle name="Bad 2 4 2" xfId="7792" xr:uid="{00000000-0005-0000-0000-0000701E0000}"/>
    <cellStyle name="Bad 2 4 2 2" xfId="7793" xr:uid="{00000000-0005-0000-0000-0000711E0000}"/>
    <cellStyle name="Bad 2 4 3" xfId="7794" xr:uid="{00000000-0005-0000-0000-0000721E0000}"/>
    <cellStyle name="Bad 2 5" xfId="7795" xr:uid="{00000000-0005-0000-0000-0000731E0000}"/>
    <cellStyle name="Bad 2 5 2" xfId="7796" xr:uid="{00000000-0005-0000-0000-0000741E0000}"/>
    <cellStyle name="Bad 2 5 2 2" xfId="7797" xr:uid="{00000000-0005-0000-0000-0000751E0000}"/>
    <cellStyle name="Bad 2 5 3" xfId="7798" xr:uid="{00000000-0005-0000-0000-0000761E0000}"/>
    <cellStyle name="Bad 2 5 3 2" xfId="7799" xr:uid="{00000000-0005-0000-0000-0000771E0000}"/>
    <cellStyle name="Bad 2 5 3 2 2" xfId="7800" xr:uid="{00000000-0005-0000-0000-0000781E0000}"/>
    <cellStyle name="Bad 2 5 3 3" xfId="7801" xr:uid="{00000000-0005-0000-0000-0000791E0000}"/>
    <cellStyle name="Bad 2 5 4" xfId="7802" xr:uid="{00000000-0005-0000-0000-00007A1E0000}"/>
    <cellStyle name="Bad 2 6" xfId="7803" xr:uid="{00000000-0005-0000-0000-00007B1E0000}"/>
    <cellStyle name="Bad 2 6 2" xfId="7804" xr:uid="{00000000-0005-0000-0000-00007C1E0000}"/>
    <cellStyle name="Bad 2 6 2 2" xfId="7805" xr:uid="{00000000-0005-0000-0000-00007D1E0000}"/>
    <cellStyle name="Bad 2 6 3" xfId="7806" xr:uid="{00000000-0005-0000-0000-00007E1E0000}"/>
    <cellStyle name="Bad 2 6 3 2" xfId="7807" xr:uid="{00000000-0005-0000-0000-00007F1E0000}"/>
    <cellStyle name="Bad 2 6 4" xfId="7808" xr:uid="{00000000-0005-0000-0000-0000801E0000}"/>
    <cellStyle name="Bad 2 7" xfId="7809" xr:uid="{00000000-0005-0000-0000-0000811E0000}"/>
    <cellStyle name="Bad 2 7 2" xfId="7810" xr:uid="{00000000-0005-0000-0000-0000821E0000}"/>
    <cellStyle name="Bad 2 8" xfId="7811" xr:uid="{00000000-0005-0000-0000-0000831E0000}"/>
    <cellStyle name="Bad 2 8 2" xfId="7812" xr:uid="{00000000-0005-0000-0000-0000841E0000}"/>
    <cellStyle name="Bad 2 8 2 2" xfId="7813" xr:uid="{00000000-0005-0000-0000-0000851E0000}"/>
    <cellStyle name="Bad 2 8 3" xfId="7814" xr:uid="{00000000-0005-0000-0000-0000861E0000}"/>
    <cellStyle name="Bad 2 9" xfId="7815" xr:uid="{00000000-0005-0000-0000-0000871E0000}"/>
    <cellStyle name="Bad 2 9 2" xfId="7816" xr:uid="{00000000-0005-0000-0000-0000881E0000}"/>
    <cellStyle name="Bad 2 9 2 2" xfId="7817" xr:uid="{00000000-0005-0000-0000-0000891E0000}"/>
    <cellStyle name="Bad 2 9 3" xfId="7818" xr:uid="{00000000-0005-0000-0000-00008A1E0000}"/>
    <cellStyle name="Bad 3" xfId="7819" xr:uid="{00000000-0005-0000-0000-00008B1E0000}"/>
    <cellStyle name="Bad 3 2" xfId="7820" xr:uid="{00000000-0005-0000-0000-00008C1E0000}"/>
    <cellStyle name="Bad 3 2 2" xfId="7821" xr:uid="{00000000-0005-0000-0000-00008D1E0000}"/>
    <cellStyle name="Bad 3 3" xfId="7822" xr:uid="{00000000-0005-0000-0000-00008E1E0000}"/>
    <cellStyle name="Bad 3 3 2" xfId="7823" xr:uid="{00000000-0005-0000-0000-00008F1E0000}"/>
    <cellStyle name="Bad 3 4" xfId="7824" xr:uid="{00000000-0005-0000-0000-0000901E0000}"/>
    <cellStyle name="Bad 3 4 2" xfId="7825" xr:uid="{00000000-0005-0000-0000-0000911E0000}"/>
    <cellStyle name="Bad 3 4 2 2" xfId="7826" xr:uid="{00000000-0005-0000-0000-0000921E0000}"/>
    <cellStyle name="Bad 3 4 3" xfId="7827" xr:uid="{00000000-0005-0000-0000-0000931E0000}"/>
    <cellStyle name="Bad 3 5" xfId="7828" xr:uid="{00000000-0005-0000-0000-0000941E0000}"/>
    <cellStyle name="Bad 4" xfId="7829" xr:uid="{00000000-0005-0000-0000-0000951E0000}"/>
    <cellStyle name="Bad 4 2" xfId="7830" xr:uid="{00000000-0005-0000-0000-0000961E0000}"/>
    <cellStyle name="Bad 4 2 2" xfId="7831" xr:uid="{00000000-0005-0000-0000-0000971E0000}"/>
    <cellStyle name="Bad 4 3" xfId="7832" xr:uid="{00000000-0005-0000-0000-0000981E0000}"/>
    <cellStyle name="Bad 4 3 2" xfId="7833" xr:uid="{00000000-0005-0000-0000-0000991E0000}"/>
    <cellStyle name="Bad 4 3 2 2" xfId="7834" xr:uid="{00000000-0005-0000-0000-00009A1E0000}"/>
    <cellStyle name="Bad 4 3 3" xfId="7835" xr:uid="{00000000-0005-0000-0000-00009B1E0000}"/>
    <cellStyle name="Bad 4 4" xfId="7836" xr:uid="{00000000-0005-0000-0000-00009C1E0000}"/>
    <cellStyle name="Bad 5" xfId="7837" xr:uid="{00000000-0005-0000-0000-00009D1E0000}"/>
    <cellStyle name="Bad 5 2" xfId="7838" xr:uid="{00000000-0005-0000-0000-00009E1E0000}"/>
    <cellStyle name="Bad 5 2 2" xfId="7839" xr:uid="{00000000-0005-0000-0000-00009F1E0000}"/>
    <cellStyle name="Bad 5 2 2 2" xfId="7840" xr:uid="{00000000-0005-0000-0000-0000A01E0000}"/>
    <cellStyle name="Bad 5 2 2 2 2" xfId="7841" xr:uid="{00000000-0005-0000-0000-0000A11E0000}"/>
    <cellStyle name="Bad 5 2 2 3" xfId="7842" xr:uid="{00000000-0005-0000-0000-0000A21E0000}"/>
    <cellStyle name="Bad 5 2 2 3 2" xfId="7843" xr:uid="{00000000-0005-0000-0000-0000A31E0000}"/>
    <cellStyle name="Bad 5 2 2 3 2 2" xfId="7844" xr:uid="{00000000-0005-0000-0000-0000A41E0000}"/>
    <cellStyle name="Bad 5 2 2 3 3" xfId="7845" xr:uid="{00000000-0005-0000-0000-0000A51E0000}"/>
    <cellStyle name="Bad 5 2 2 4" xfId="7846" xr:uid="{00000000-0005-0000-0000-0000A61E0000}"/>
    <cellStyle name="Bad 5 2 3" xfId="7847" xr:uid="{00000000-0005-0000-0000-0000A71E0000}"/>
    <cellStyle name="Bad 5 2 3 2" xfId="7848" xr:uid="{00000000-0005-0000-0000-0000A81E0000}"/>
    <cellStyle name="Bad 5 2 4" xfId="7849" xr:uid="{00000000-0005-0000-0000-0000A91E0000}"/>
    <cellStyle name="Bad 5 2 4 2" xfId="7850" xr:uid="{00000000-0005-0000-0000-0000AA1E0000}"/>
    <cellStyle name="Bad 5 2 4 2 2" xfId="7851" xr:uid="{00000000-0005-0000-0000-0000AB1E0000}"/>
    <cellStyle name="Bad 5 2 4 3" xfId="7852" xr:uid="{00000000-0005-0000-0000-0000AC1E0000}"/>
    <cellStyle name="Bad 5 2 5" xfId="7853" xr:uid="{00000000-0005-0000-0000-0000AD1E0000}"/>
    <cellStyle name="Bad 5 3" xfId="7854" xr:uid="{00000000-0005-0000-0000-0000AE1E0000}"/>
    <cellStyle name="Bad 5 3 2" xfId="7855" xr:uid="{00000000-0005-0000-0000-0000AF1E0000}"/>
    <cellStyle name="Bad 5 3 2 2" xfId="7856" xr:uid="{00000000-0005-0000-0000-0000B01E0000}"/>
    <cellStyle name="Bad 5 3 3" xfId="7857" xr:uid="{00000000-0005-0000-0000-0000B11E0000}"/>
    <cellStyle name="Bad 5 4" xfId="7858" xr:uid="{00000000-0005-0000-0000-0000B21E0000}"/>
    <cellStyle name="Bad 5 4 2" xfId="7859" xr:uid="{00000000-0005-0000-0000-0000B31E0000}"/>
    <cellStyle name="Bad 5 5" xfId="7860" xr:uid="{00000000-0005-0000-0000-0000B41E0000}"/>
    <cellStyle name="Bad 5 5 2" xfId="7861" xr:uid="{00000000-0005-0000-0000-0000B51E0000}"/>
    <cellStyle name="Bad 5 5 2 2" xfId="7862" xr:uid="{00000000-0005-0000-0000-0000B61E0000}"/>
    <cellStyle name="Bad 5 5 3" xfId="7863" xr:uid="{00000000-0005-0000-0000-0000B71E0000}"/>
    <cellStyle name="Bad 5 6" xfId="7864" xr:uid="{00000000-0005-0000-0000-0000B81E0000}"/>
    <cellStyle name="Bad 6" xfId="7865" xr:uid="{00000000-0005-0000-0000-0000B91E0000}"/>
    <cellStyle name="Bad 6 2" xfId="7866" xr:uid="{00000000-0005-0000-0000-0000BA1E0000}"/>
    <cellStyle name="Bad 6 2 2" xfId="7867" xr:uid="{00000000-0005-0000-0000-0000BB1E0000}"/>
    <cellStyle name="Bad 6 3" xfId="7868" xr:uid="{00000000-0005-0000-0000-0000BC1E0000}"/>
    <cellStyle name="Bad 7" xfId="7869" xr:uid="{00000000-0005-0000-0000-0000BD1E0000}"/>
    <cellStyle name="Bad 7 2" xfId="7870" xr:uid="{00000000-0005-0000-0000-0000BE1E0000}"/>
    <cellStyle name="Bad 8" xfId="7871" xr:uid="{00000000-0005-0000-0000-0000BF1E0000}"/>
    <cellStyle name="Bad 9" xfId="7872" xr:uid="{00000000-0005-0000-0000-0000C01E0000}"/>
    <cellStyle name="Body" xfId="7873" xr:uid="{00000000-0005-0000-0000-0000C11E0000}"/>
    <cellStyle name="Body 2" xfId="7874" xr:uid="{00000000-0005-0000-0000-0000C21E0000}"/>
    <cellStyle name="Body 2 2" xfId="7875" xr:uid="{00000000-0005-0000-0000-0000C31E0000}"/>
    <cellStyle name="Body 2 2 2" xfId="7876" xr:uid="{00000000-0005-0000-0000-0000C41E0000}"/>
    <cellStyle name="Body 2 3" xfId="7877" xr:uid="{00000000-0005-0000-0000-0000C51E0000}"/>
    <cellStyle name="Body 2 3 2" xfId="7878" xr:uid="{00000000-0005-0000-0000-0000C61E0000}"/>
    <cellStyle name="Body 2 3 2 2" xfId="7879" xr:uid="{00000000-0005-0000-0000-0000C71E0000}"/>
    <cellStyle name="Body 2 3 3" xfId="7880" xr:uid="{00000000-0005-0000-0000-0000C81E0000}"/>
    <cellStyle name="Body 2 4" xfId="7881" xr:uid="{00000000-0005-0000-0000-0000C91E0000}"/>
    <cellStyle name="Body 3" xfId="7882" xr:uid="{00000000-0005-0000-0000-0000CA1E0000}"/>
    <cellStyle name="Body 3 2" xfId="7883" xr:uid="{00000000-0005-0000-0000-0000CB1E0000}"/>
    <cellStyle name="Body 3 2 2" xfId="7884" xr:uid="{00000000-0005-0000-0000-0000CC1E0000}"/>
    <cellStyle name="Body 3 3" xfId="7885" xr:uid="{00000000-0005-0000-0000-0000CD1E0000}"/>
    <cellStyle name="Body 4" xfId="7886" xr:uid="{00000000-0005-0000-0000-0000CE1E0000}"/>
    <cellStyle name="Body 4 2" xfId="7887" xr:uid="{00000000-0005-0000-0000-0000CF1E0000}"/>
    <cellStyle name="Body 5" xfId="7888" xr:uid="{00000000-0005-0000-0000-0000D01E0000}"/>
    <cellStyle name="Body 5 2" xfId="7889" xr:uid="{00000000-0005-0000-0000-0000D11E0000}"/>
    <cellStyle name="Body 6" xfId="7890" xr:uid="{00000000-0005-0000-0000-0000D21E0000}"/>
    <cellStyle name="BorderedPercent" xfId="7891" xr:uid="{00000000-0005-0000-0000-0000D31E0000}"/>
    <cellStyle name="Boxed Integer" xfId="7892" xr:uid="{00000000-0005-0000-0000-0000D41E0000}"/>
    <cellStyle name="Calc" xfId="7893" xr:uid="{00000000-0005-0000-0000-0000D51E0000}"/>
    <cellStyle name="Calc Currency (0)" xfId="7894" xr:uid="{00000000-0005-0000-0000-0000D61E0000}"/>
    <cellStyle name="Calc Currency (0) 2" xfId="7895" xr:uid="{00000000-0005-0000-0000-0000D71E0000}"/>
    <cellStyle name="Calc Currency (0) 2 2" xfId="7896" xr:uid="{00000000-0005-0000-0000-0000D81E0000}"/>
    <cellStyle name="Calc Currency (0) 3" xfId="7897" xr:uid="{00000000-0005-0000-0000-0000D91E0000}"/>
    <cellStyle name="Calculation 10" xfId="7898" xr:uid="{00000000-0005-0000-0000-0000DA1E0000}"/>
    <cellStyle name="Calculation 2" xfId="7899" xr:uid="{00000000-0005-0000-0000-0000DB1E0000}"/>
    <cellStyle name="Calculation 2 10" xfId="7900" xr:uid="{00000000-0005-0000-0000-0000DC1E0000}"/>
    <cellStyle name="Calculation 2 10 2" xfId="7901" xr:uid="{00000000-0005-0000-0000-0000DD1E0000}"/>
    <cellStyle name="Calculation 2 10 3" xfId="7902" xr:uid="{00000000-0005-0000-0000-0000DE1E0000}"/>
    <cellStyle name="Calculation 2 11" xfId="7903" xr:uid="{00000000-0005-0000-0000-0000DF1E0000}"/>
    <cellStyle name="Calculation 2 11 2" xfId="7904" xr:uid="{00000000-0005-0000-0000-0000E01E0000}"/>
    <cellStyle name="Calculation 2 12" xfId="7905" xr:uid="{00000000-0005-0000-0000-0000E11E0000}"/>
    <cellStyle name="Calculation 2 13" xfId="7906" xr:uid="{00000000-0005-0000-0000-0000E21E0000}"/>
    <cellStyle name="Calculation 2 2" xfId="7907" xr:uid="{00000000-0005-0000-0000-0000E31E0000}"/>
    <cellStyle name="Calculation 2 2 2" xfId="7908" xr:uid="{00000000-0005-0000-0000-0000E41E0000}"/>
    <cellStyle name="Calculation 2 2 2 2" xfId="7909" xr:uid="{00000000-0005-0000-0000-0000E51E0000}"/>
    <cellStyle name="Calculation 2 2 3" xfId="7910" xr:uid="{00000000-0005-0000-0000-0000E61E0000}"/>
    <cellStyle name="Calculation 2 2 3 2" xfId="7911" xr:uid="{00000000-0005-0000-0000-0000E71E0000}"/>
    <cellStyle name="Calculation 2 2 3 2 2" xfId="7912" xr:uid="{00000000-0005-0000-0000-0000E81E0000}"/>
    <cellStyle name="Calculation 2 2 3 3" xfId="7913" xr:uid="{00000000-0005-0000-0000-0000E91E0000}"/>
    <cellStyle name="Calculation 2 2 4" xfId="7914" xr:uid="{00000000-0005-0000-0000-0000EA1E0000}"/>
    <cellStyle name="Calculation 2 3" xfId="7915" xr:uid="{00000000-0005-0000-0000-0000EB1E0000}"/>
    <cellStyle name="Calculation 2 3 2" xfId="7916" xr:uid="{00000000-0005-0000-0000-0000EC1E0000}"/>
    <cellStyle name="Calculation 2 3 2 2" xfId="7917" xr:uid="{00000000-0005-0000-0000-0000ED1E0000}"/>
    <cellStyle name="Calculation 2 3 2 2 2" xfId="7918" xr:uid="{00000000-0005-0000-0000-0000EE1E0000}"/>
    <cellStyle name="Calculation 2 3 2 3" xfId="7919" xr:uid="{00000000-0005-0000-0000-0000EF1E0000}"/>
    <cellStyle name="Calculation 2 3 3" xfId="7920" xr:uid="{00000000-0005-0000-0000-0000F01E0000}"/>
    <cellStyle name="Calculation 2 3 3 2" xfId="7921" xr:uid="{00000000-0005-0000-0000-0000F11E0000}"/>
    <cellStyle name="Calculation 2 3 3 2 2" xfId="7922" xr:uid="{00000000-0005-0000-0000-0000F21E0000}"/>
    <cellStyle name="Calculation 2 3 3 2 2 2" xfId="7923" xr:uid="{00000000-0005-0000-0000-0000F31E0000}"/>
    <cellStyle name="Calculation 2 3 3 2 3" xfId="7924" xr:uid="{00000000-0005-0000-0000-0000F41E0000}"/>
    <cellStyle name="Calculation 2 3 3 3" xfId="7925" xr:uid="{00000000-0005-0000-0000-0000F51E0000}"/>
    <cellStyle name="Calculation 2 3 3 3 2" xfId="7926" xr:uid="{00000000-0005-0000-0000-0000F61E0000}"/>
    <cellStyle name="Calculation 2 3 3 4" xfId="7927" xr:uid="{00000000-0005-0000-0000-0000F71E0000}"/>
    <cellStyle name="Calculation 2 3 4" xfId="7928" xr:uid="{00000000-0005-0000-0000-0000F81E0000}"/>
    <cellStyle name="Calculation 2 3 4 2" xfId="7929" xr:uid="{00000000-0005-0000-0000-0000F91E0000}"/>
    <cellStyle name="Calculation 2 3 5" xfId="7930" xr:uid="{00000000-0005-0000-0000-0000FA1E0000}"/>
    <cellStyle name="Calculation 2 4" xfId="7931" xr:uid="{00000000-0005-0000-0000-0000FB1E0000}"/>
    <cellStyle name="Calculation 2 4 2" xfId="7932" xr:uid="{00000000-0005-0000-0000-0000FC1E0000}"/>
    <cellStyle name="Calculation 2 4 2 2" xfId="7933" xr:uid="{00000000-0005-0000-0000-0000FD1E0000}"/>
    <cellStyle name="Calculation 2 4 2 2 2" xfId="7934" xr:uid="{00000000-0005-0000-0000-0000FE1E0000}"/>
    <cellStyle name="Calculation 2 4 2 3" xfId="7935" xr:uid="{00000000-0005-0000-0000-0000FF1E0000}"/>
    <cellStyle name="Calculation 2 4 3" xfId="7936" xr:uid="{00000000-0005-0000-0000-0000001F0000}"/>
    <cellStyle name="Calculation 2 4 3 2" xfId="7937" xr:uid="{00000000-0005-0000-0000-0000011F0000}"/>
    <cellStyle name="Calculation 2 4 4" xfId="7938" xr:uid="{00000000-0005-0000-0000-0000021F0000}"/>
    <cellStyle name="Calculation 2 5" xfId="7939" xr:uid="{00000000-0005-0000-0000-0000031F0000}"/>
    <cellStyle name="Calculation 2 5 2" xfId="7940" xr:uid="{00000000-0005-0000-0000-0000041F0000}"/>
    <cellStyle name="Calculation 2 5 2 2" xfId="7941" xr:uid="{00000000-0005-0000-0000-0000051F0000}"/>
    <cellStyle name="Calculation 2 5 2 2 2" xfId="7942" xr:uid="{00000000-0005-0000-0000-0000061F0000}"/>
    <cellStyle name="Calculation 2 5 2 3" xfId="7943" xr:uid="{00000000-0005-0000-0000-0000071F0000}"/>
    <cellStyle name="Calculation 2 5 3" xfId="7944" xr:uid="{00000000-0005-0000-0000-0000081F0000}"/>
    <cellStyle name="Calculation 2 5 3 2" xfId="7945" xr:uid="{00000000-0005-0000-0000-0000091F0000}"/>
    <cellStyle name="Calculation 2 5 3 2 2" xfId="7946" xr:uid="{00000000-0005-0000-0000-00000A1F0000}"/>
    <cellStyle name="Calculation 2 5 3 2 2 2" xfId="7947" xr:uid="{00000000-0005-0000-0000-00000B1F0000}"/>
    <cellStyle name="Calculation 2 5 3 2 3" xfId="7948" xr:uid="{00000000-0005-0000-0000-00000C1F0000}"/>
    <cellStyle name="Calculation 2 5 3 3" xfId="7949" xr:uid="{00000000-0005-0000-0000-00000D1F0000}"/>
    <cellStyle name="Calculation 2 5 3 3 2" xfId="7950" xr:uid="{00000000-0005-0000-0000-00000E1F0000}"/>
    <cellStyle name="Calculation 2 5 3 4" xfId="7951" xr:uid="{00000000-0005-0000-0000-00000F1F0000}"/>
    <cellStyle name="Calculation 2 5 4" xfId="7952" xr:uid="{00000000-0005-0000-0000-0000101F0000}"/>
    <cellStyle name="Calculation 2 5 4 2" xfId="7953" xr:uid="{00000000-0005-0000-0000-0000111F0000}"/>
    <cellStyle name="Calculation 2 5 5" xfId="7954" xr:uid="{00000000-0005-0000-0000-0000121F0000}"/>
    <cellStyle name="Calculation 2 6" xfId="7955" xr:uid="{00000000-0005-0000-0000-0000131F0000}"/>
    <cellStyle name="Calculation 2 6 2" xfId="7956" xr:uid="{00000000-0005-0000-0000-0000141F0000}"/>
    <cellStyle name="Calculation 2 6 2 2" xfId="7957" xr:uid="{00000000-0005-0000-0000-0000151F0000}"/>
    <cellStyle name="Calculation 2 6 2 2 2" xfId="7958" xr:uid="{00000000-0005-0000-0000-0000161F0000}"/>
    <cellStyle name="Calculation 2 6 2 3" xfId="7959" xr:uid="{00000000-0005-0000-0000-0000171F0000}"/>
    <cellStyle name="Calculation 2 6 3" xfId="7960" xr:uid="{00000000-0005-0000-0000-0000181F0000}"/>
    <cellStyle name="Calculation 2 6 3 2" xfId="7961" xr:uid="{00000000-0005-0000-0000-0000191F0000}"/>
    <cellStyle name="Calculation 2 6 3 2 2" xfId="7962" xr:uid="{00000000-0005-0000-0000-00001A1F0000}"/>
    <cellStyle name="Calculation 2 6 3 2 2 2" xfId="7963" xr:uid="{00000000-0005-0000-0000-00001B1F0000}"/>
    <cellStyle name="Calculation 2 6 3 2 2 2 2" xfId="7964" xr:uid="{00000000-0005-0000-0000-00001C1F0000}"/>
    <cellStyle name="Calculation 2 6 3 2 2 3" xfId="7965" xr:uid="{00000000-0005-0000-0000-00001D1F0000}"/>
    <cellStyle name="Calculation 2 6 3 2 3" xfId="7966" xr:uid="{00000000-0005-0000-0000-00001E1F0000}"/>
    <cellStyle name="Calculation 2 6 3 2 3 2" xfId="7967" xr:uid="{00000000-0005-0000-0000-00001F1F0000}"/>
    <cellStyle name="Calculation 2 6 3 2 4" xfId="7968" xr:uid="{00000000-0005-0000-0000-0000201F0000}"/>
    <cellStyle name="Calculation 2 6 3 3" xfId="7969" xr:uid="{00000000-0005-0000-0000-0000211F0000}"/>
    <cellStyle name="Calculation 2 6 3 3 2" xfId="7970" xr:uid="{00000000-0005-0000-0000-0000221F0000}"/>
    <cellStyle name="Calculation 2 6 3 3 2 2" xfId="7971" xr:uid="{00000000-0005-0000-0000-0000231F0000}"/>
    <cellStyle name="Calculation 2 6 3 3 3" xfId="7972" xr:uid="{00000000-0005-0000-0000-0000241F0000}"/>
    <cellStyle name="Calculation 2 6 3 4" xfId="7973" xr:uid="{00000000-0005-0000-0000-0000251F0000}"/>
    <cellStyle name="Calculation 2 6 3 4 2" xfId="7974" xr:uid="{00000000-0005-0000-0000-0000261F0000}"/>
    <cellStyle name="Calculation 2 6 3 5" xfId="7975" xr:uid="{00000000-0005-0000-0000-0000271F0000}"/>
    <cellStyle name="Calculation 2 6 4" xfId="7976" xr:uid="{00000000-0005-0000-0000-0000281F0000}"/>
    <cellStyle name="Calculation 2 6 4 2" xfId="7977" xr:uid="{00000000-0005-0000-0000-0000291F0000}"/>
    <cellStyle name="Calculation 2 6 4 2 2" xfId="7978" xr:uid="{00000000-0005-0000-0000-00002A1F0000}"/>
    <cellStyle name="Calculation 2 6 4 2 2 2" xfId="7979" xr:uid="{00000000-0005-0000-0000-00002B1F0000}"/>
    <cellStyle name="Calculation 2 6 4 2 3" xfId="7980" xr:uid="{00000000-0005-0000-0000-00002C1F0000}"/>
    <cellStyle name="Calculation 2 6 4 3" xfId="7981" xr:uid="{00000000-0005-0000-0000-00002D1F0000}"/>
    <cellStyle name="Calculation 2 6 4 3 2" xfId="7982" xr:uid="{00000000-0005-0000-0000-00002E1F0000}"/>
    <cellStyle name="Calculation 2 6 4 4" xfId="7983" xr:uid="{00000000-0005-0000-0000-00002F1F0000}"/>
    <cellStyle name="Calculation 2 6 5" xfId="7984" xr:uid="{00000000-0005-0000-0000-0000301F0000}"/>
    <cellStyle name="Calculation 2 6 5 2" xfId="7985" xr:uid="{00000000-0005-0000-0000-0000311F0000}"/>
    <cellStyle name="Calculation 2 6 5 2 2" xfId="7986" xr:uid="{00000000-0005-0000-0000-0000321F0000}"/>
    <cellStyle name="Calculation 2 6 5 3" xfId="7987" xr:uid="{00000000-0005-0000-0000-0000331F0000}"/>
    <cellStyle name="Calculation 2 6 6" xfId="7988" xr:uid="{00000000-0005-0000-0000-0000341F0000}"/>
    <cellStyle name="Calculation 2 6 6 2" xfId="7989" xr:uid="{00000000-0005-0000-0000-0000351F0000}"/>
    <cellStyle name="Calculation 2 6 7" xfId="7990" xr:uid="{00000000-0005-0000-0000-0000361F0000}"/>
    <cellStyle name="Calculation 2 7" xfId="7991" xr:uid="{00000000-0005-0000-0000-0000371F0000}"/>
    <cellStyle name="Calculation 2 7 2" xfId="7992" xr:uid="{00000000-0005-0000-0000-0000381F0000}"/>
    <cellStyle name="Calculation 2 7 2 2" xfId="7993" xr:uid="{00000000-0005-0000-0000-0000391F0000}"/>
    <cellStyle name="Calculation 2 7 3" xfId="7994" xr:uid="{00000000-0005-0000-0000-00003A1F0000}"/>
    <cellStyle name="Calculation 2 8" xfId="7995" xr:uid="{00000000-0005-0000-0000-00003B1F0000}"/>
    <cellStyle name="Calculation 2 8 2" xfId="7996" xr:uid="{00000000-0005-0000-0000-00003C1F0000}"/>
    <cellStyle name="Calculation 2 8 2 2" xfId="7997" xr:uid="{00000000-0005-0000-0000-00003D1F0000}"/>
    <cellStyle name="Calculation 2 8 2 2 2" xfId="7998" xr:uid="{00000000-0005-0000-0000-00003E1F0000}"/>
    <cellStyle name="Calculation 2 8 2 3" xfId="7999" xr:uid="{00000000-0005-0000-0000-00003F1F0000}"/>
    <cellStyle name="Calculation 2 8 3" xfId="8000" xr:uid="{00000000-0005-0000-0000-0000401F0000}"/>
    <cellStyle name="Calculation 2 8 3 2" xfId="8001" xr:uid="{00000000-0005-0000-0000-0000411F0000}"/>
    <cellStyle name="Calculation 2 8 4" xfId="8002" xr:uid="{00000000-0005-0000-0000-0000421F0000}"/>
    <cellStyle name="Calculation 2 9" xfId="8003" xr:uid="{00000000-0005-0000-0000-0000431F0000}"/>
    <cellStyle name="Calculation 2 9 2" xfId="8004" xr:uid="{00000000-0005-0000-0000-0000441F0000}"/>
    <cellStyle name="Calculation 2 9 2 2" xfId="8005" xr:uid="{00000000-0005-0000-0000-0000451F0000}"/>
    <cellStyle name="Calculation 2 9 2 2 2" xfId="8006" xr:uid="{00000000-0005-0000-0000-0000461F0000}"/>
    <cellStyle name="Calculation 2 9 2 3" xfId="8007" xr:uid="{00000000-0005-0000-0000-0000471F0000}"/>
    <cellStyle name="Calculation 2 9 3" xfId="8008" xr:uid="{00000000-0005-0000-0000-0000481F0000}"/>
    <cellStyle name="Calculation 2 9 3 2" xfId="8009" xr:uid="{00000000-0005-0000-0000-0000491F0000}"/>
    <cellStyle name="Calculation 2 9 4" xfId="8010" xr:uid="{00000000-0005-0000-0000-00004A1F0000}"/>
    <cellStyle name="Calculation 2 9 4 2" xfId="8011" xr:uid="{00000000-0005-0000-0000-00004B1F0000}"/>
    <cellStyle name="Calculation 2 9 5" xfId="8012" xr:uid="{00000000-0005-0000-0000-00004C1F0000}"/>
    <cellStyle name="Calculation 3" xfId="8013" xr:uid="{00000000-0005-0000-0000-00004D1F0000}"/>
    <cellStyle name="Calculation 3 2" xfId="8014" xr:uid="{00000000-0005-0000-0000-00004E1F0000}"/>
    <cellStyle name="Calculation 3 2 2" xfId="8015" xr:uid="{00000000-0005-0000-0000-00004F1F0000}"/>
    <cellStyle name="Calculation 3 2 2 2" xfId="8016" xr:uid="{00000000-0005-0000-0000-0000501F0000}"/>
    <cellStyle name="Calculation 3 2 3" xfId="8017" xr:uid="{00000000-0005-0000-0000-0000511F0000}"/>
    <cellStyle name="Calculation 3 3" xfId="8018" xr:uid="{00000000-0005-0000-0000-0000521F0000}"/>
    <cellStyle name="Calculation 3 3 2" xfId="8019" xr:uid="{00000000-0005-0000-0000-0000531F0000}"/>
    <cellStyle name="Calculation 3 4" xfId="8020" xr:uid="{00000000-0005-0000-0000-0000541F0000}"/>
    <cellStyle name="Calculation 3 4 2" xfId="8021" xr:uid="{00000000-0005-0000-0000-0000551F0000}"/>
    <cellStyle name="Calculation 3 4 2 2" xfId="8022" xr:uid="{00000000-0005-0000-0000-0000561F0000}"/>
    <cellStyle name="Calculation 3 4 3" xfId="8023" xr:uid="{00000000-0005-0000-0000-0000571F0000}"/>
    <cellStyle name="Calculation 3 5" xfId="8024" xr:uid="{00000000-0005-0000-0000-0000581F0000}"/>
    <cellStyle name="Calculation 4" xfId="8025" xr:uid="{00000000-0005-0000-0000-0000591F0000}"/>
    <cellStyle name="Calculation 4 2" xfId="8026" xr:uid="{00000000-0005-0000-0000-00005A1F0000}"/>
    <cellStyle name="Calculation 4 2 2" xfId="8027" xr:uid="{00000000-0005-0000-0000-00005B1F0000}"/>
    <cellStyle name="Calculation 4 3" xfId="8028" xr:uid="{00000000-0005-0000-0000-00005C1F0000}"/>
    <cellStyle name="Calculation 4 3 2" xfId="8029" xr:uid="{00000000-0005-0000-0000-00005D1F0000}"/>
    <cellStyle name="Calculation 4 3 2 2" xfId="8030" xr:uid="{00000000-0005-0000-0000-00005E1F0000}"/>
    <cellStyle name="Calculation 4 3 3" xfId="8031" xr:uid="{00000000-0005-0000-0000-00005F1F0000}"/>
    <cellStyle name="Calculation 4 4" xfId="8032" xr:uid="{00000000-0005-0000-0000-0000601F0000}"/>
    <cellStyle name="Calculation 5" xfId="8033" xr:uid="{00000000-0005-0000-0000-0000611F0000}"/>
    <cellStyle name="Calculation 5 2" xfId="8034" xr:uid="{00000000-0005-0000-0000-0000621F0000}"/>
    <cellStyle name="Calculation 5 2 2" xfId="8035" xr:uid="{00000000-0005-0000-0000-0000631F0000}"/>
    <cellStyle name="Calculation 5 2 2 2" xfId="8036" xr:uid="{00000000-0005-0000-0000-0000641F0000}"/>
    <cellStyle name="Calculation 5 2 3" xfId="8037" xr:uid="{00000000-0005-0000-0000-0000651F0000}"/>
    <cellStyle name="Calculation 5 3" xfId="8038" xr:uid="{00000000-0005-0000-0000-0000661F0000}"/>
    <cellStyle name="Calculation 5 3 2" xfId="8039" xr:uid="{00000000-0005-0000-0000-0000671F0000}"/>
    <cellStyle name="Calculation 5 3 2 2" xfId="8040" xr:uid="{00000000-0005-0000-0000-0000681F0000}"/>
    <cellStyle name="Calculation 5 3 2 2 2" xfId="8041" xr:uid="{00000000-0005-0000-0000-0000691F0000}"/>
    <cellStyle name="Calculation 5 3 2 3" xfId="8042" xr:uid="{00000000-0005-0000-0000-00006A1F0000}"/>
    <cellStyle name="Calculation 5 3 3" xfId="8043" xr:uid="{00000000-0005-0000-0000-00006B1F0000}"/>
    <cellStyle name="Calculation 5 3 3 2" xfId="8044" xr:uid="{00000000-0005-0000-0000-00006C1F0000}"/>
    <cellStyle name="Calculation 5 3 4" xfId="8045" xr:uid="{00000000-0005-0000-0000-00006D1F0000}"/>
    <cellStyle name="Calculation 5 4" xfId="8046" xr:uid="{00000000-0005-0000-0000-00006E1F0000}"/>
    <cellStyle name="Calculation 5 4 2" xfId="8047" xr:uid="{00000000-0005-0000-0000-00006F1F0000}"/>
    <cellStyle name="Calculation 5 5" xfId="8048" xr:uid="{00000000-0005-0000-0000-0000701F0000}"/>
    <cellStyle name="Calculation 6" xfId="8049" xr:uid="{00000000-0005-0000-0000-0000711F0000}"/>
    <cellStyle name="Calculation 6 2" xfId="8050" xr:uid="{00000000-0005-0000-0000-0000721F0000}"/>
    <cellStyle name="Calculation 6 2 2" xfId="8051" xr:uid="{00000000-0005-0000-0000-0000731F0000}"/>
    <cellStyle name="Calculation 6 2 2 2" xfId="8052" xr:uid="{00000000-0005-0000-0000-0000741F0000}"/>
    <cellStyle name="Calculation 6 2 3" xfId="8053" xr:uid="{00000000-0005-0000-0000-0000751F0000}"/>
    <cellStyle name="Calculation 6 3" xfId="8054" xr:uid="{00000000-0005-0000-0000-0000761F0000}"/>
    <cellStyle name="Calculation 6 3 2" xfId="8055" xr:uid="{00000000-0005-0000-0000-0000771F0000}"/>
    <cellStyle name="Calculation 6 4" xfId="8056" xr:uid="{00000000-0005-0000-0000-0000781F0000}"/>
    <cellStyle name="Calculation 7" xfId="8057" xr:uid="{00000000-0005-0000-0000-0000791F0000}"/>
    <cellStyle name="Calculation 7 2" xfId="8058" xr:uid="{00000000-0005-0000-0000-00007A1F0000}"/>
    <cellStyle name="Calculation 8" xfId="8059" xr:uid="{00000000-0005-0000-0000-00007B1F0000}"/>
    <cellStyle name="Calculation 8 2" xfId="8060" xr:uid="{00000000-0005-0000-0000-00007C1F0000}"/>
    <cellStyle name="Calculation 9" xfId="8061" xr:uid="{00000000-0005-0000-0000-00007D1F0000}"/>
    <cellStyle name="Center" xfId="8062" xr:uid="{00000000-0005-0000-0000-00007E1F0000}"/>
    <cellStyle name="Center 2" xfId="8063" xr:uid="{00000000-0005-0000-0000-00007F1F0000}"/>
    <cellStyle name="Center 2 2" xfId="8064" xr:uid="{00000000-0005-0000-0000-0000801F0000}"/>
    <cellStyle name="Center 3" xfId="8065" xr:uid="{00000000-0005-0000-0000-0000811F0000}"/>
    <cellStyle name="Center 3 2" xfId="8066" xr:uid="{00000000-0005-0000-0000-0000821F0000}"/>
    <cellStyle name="Center 3 2 2" xfId="8067" xr:uid="{00000000-0005-0000-0000-0000831F0000}"/>
    <cellStyle name="Center 3 3" xfId="8068" xr:uid="{00000000-0005-0000-0000-0000841F0000}"/>
    <cellStyle name="Center 4" xfId="8069" xr:uid="{00000000-0005-0000-0000-0000851F0000}"/>
    <cellStyle name="CenterWrap" xfId="8070" xr:uid="{00000000-0005-0000-0000-0000861F0000}"/>
    <cellStyle name="Cents" xfId="8071" xr:uid="{00000000-0005-0000-0000-0000871F0000}"/>
    <cellStyle name="Check Cell 2" xfId="8072" xr:uid="{00000000-0005-0000-0000-0000881F0000}"/>
    <cellStyle name="Check Cell 2 10" xfId="8073" xr:uid="{00000000-0005-0000-0000-0000891F0000}"/>
    <cellStyle name="Check Cell 2 10 2" xfId="8074" xr:uid="{00000000-0005-0000-0000-00008A1F0000}"/>
    <cellStyle name="Check Cell 2 11" xfId="8075" xr:uid="{00000000-0005-0000-0000-00008B1F0000}"/>
    <cellStyle name="Check Cell 2 12" xfId="8076" xr:uid="{00000000-0005-0000-0000-00008C1F0000}"/>
    <cellStyle name="Check Cell 2 2" xfId="8077" xr:uid="{00000000-0005-0000-0000-00008D1F0000}"/>
    <cellStyle name="Check Cell 2 2 2" xfId="8078" xr:uid="{00000000-0005-0000-0000-00008E1F0000}"/>
    <cellStyle name="Check Cell 2 2 2 2" xfId="8079" xr:uid="{00000000-0005-0000-0000-00008F1F0000}"/>
    <cellStyle name="Check Cell 2 2 3" xfId="8080" xr:uid="{00000000-0005-0000-0000-0000901F0000}"/>
    <cellStyle name="Check Cell 2 2 3 2" xfId="8081" xr:uid="{00000000-0005-0000-0000-0000911F0000}"/>
    <cellStyle name="Check Cell 2 2 3 2 2" xfId="8082" xr:uid="{00000000-0005-0000-0000-0000921F0000}"/>
    <cellStyle name="Check Cell 2 2 3 3" xfId="8083" xr:uid="{00000000-0005-0000-0000-0000931F0000}"/>
    <cellStyle name="Check Cell 2 2 4" xfId="8084" xr:uid="{00000000-0005-0000-0000-0000941F0000}"/>
    <cellStyle name="Check Cell 2 3" xfId="8085" xr:uid="{00000000-0005-0000-0000-0000951F0000}"/>
    <cellStyle name="Check Cell 2 3 2" xfId="8086" xr:uid="{00000000-0005-0000-0000-0000961F0000}"/>
    <cellStyle name="Check Cell 2 3 2 2" xfId="8087" xr:uid="{00000000-0005-0000-0000-0000971F0000}"/>
    <cellStyle name="Check Cell 2 3 3" xfId="8088" xr:uid="{00000000-0005-0000-0000-0000981F0000}"/>
    <cellStyle name="Check Cell 2 3 3 2" xfId="8089" xr:uid="{00000000-0005-0000-0000-0000991F0000}"/>
    <cellStyle name="Check Cell 2 3 3 2 2" xfId="8090" xr:uid="{00000000-0005-0000-0000-00009A1F0000}"/>
    <cellStyle name="Check Cell 2 3 3 3" xfId="8091" xr:uid="{00000000-0005-0000-0000-00009B1F0000}"/>
    <cellStyle name="Check Cell 2 3 4" xfId="8092" xr:uid="{00000000-0005-0000-0000-00009C1F0000}"/>
    <cellStyle name="Check Cell 2 4" xfId="8093" xr:uid="{00000000-0005-0000-0000-00009D1F0000}"/>
    <cellStyle name="Check Cell 2 4 2" xfId="8094" xr:uid="{00000000-0005-0000-0000-00009E1F0000}"/>
    <cellStyle name="Check Cell 2 4 2 2" xfId="8095" xr:uid="{00000000-0005-0000-0000-00009F1F0000}"/>
    <cellStyle name="Check Cell 2 4 3" xfId="8096" xr:uid="{00000000-0005-0000-0000-0000A01F0000}"/>
    <cellStyle name="Check Cell 2 5" xfId="8097" xr:uid="{00000000-0005-0000-0000-0000A11F0000}"/>
    <cellStyle name="Check Cell 2 5 2" xfId="8098" xr:uid="{00000000-0005-0000-0000-0000A21F0000}"/>
    <cellStyle name="Check Cell 2 5 2 2" xfId="8099" xr:uid="{00000000-0005-0000-0000-0000A31F0000}"/>
    <cellStyle name="Check Cell 2 5 3" xfId="8100" xr:uid="{00000000-0005-0000-0000-0000A41F0000}"/>
    <cellStyle name="Check Cell 2 5 3 2" xfId="8101" xr:uid="{00000000-0005-0000-0000-0000A51F0000}"/>
    <cellStyle name="Check Cell 2 5 3 2 2" xfId="8102" xr:uid="{00000000-0005-0000-0000-0000A61F0000}"/>
    <cellStyle name="Check Cell 2 5 3 3" xfId="8103" xr:uid="{00000000-0005-0000-0000-0000A71F0000}"/>
    <cellStyle name="Check Cell 2 5 4" xfId="8104" xr:uid="{00000000-0005-0000-0000-0000A81F0000}"/>
    <cellStyle name="Check Cell 2 6" xfId="8105" xr:uid="{00000000-0005-0000-0000-0000A91F0000}"/>
    <cellStyle name="Check Cell 2 6 2" xfId="8106" xr:uid="{00000000-0005-0000-0000-0000AA1F0000}"/>
    <cellStyle name="Check Cell 2 6 2 2" xfId="8107" xr:uid="{00000000-0005-0000-0000-0000AB1F0000}"/>
    <cellStyle name="Check Cell 2 6 3" xfId="8108" xr:uid="{00000000-0005-0000-0000-0000AC1F0000}"/>
    <cellStyle name="Check Cell 2 6 3 2" xfId="8109" xr:uid="{00000000-0005-0000-0000-0000AD1F0000}"/>
    <cellStyle name="Check Cell 2 6 4" xfId="8110" xr:uid="{00000000-0005-0000-0000-0000AE1F0000}"/>
    <cellStyle name="Check Cell 2 7" xfId="8111" xr:uid="{00000000-0005-0000-0000-0000AF1F0000}"/>
    <cellStyle name="Check Cell 2 7 2" xfId="8112" xr:uid="{00000000-0005-0000-0000-0000B01F0000}"/>
    <cellStyle name="Check Cell 2 8" xfId="8113" xr:uid="{00000000-0005-0000-0000-0000B11F0000}"/>
    <cellStyle name="Check Cell 2 8 2" xfId="8114" xr:uid="{00000000-0005-0000-0000-0000B21F0000}"/>
    <cellStyle name="Check Cell 2 8 2 2" xfId="8115" xr:uid="{00000000-0005-0000-0000-0000B31F0000}"/>
    <cellStyle name="Check Cell 2 8 3" xfId="8116" xr:uid="{00000000-0005-0000-0000-0000B41F0000}"/>
    <cellStyle name="Check Cell 2 9" xfId="8117" xr:uid="{00000000-0005-0000-0000-0000B51F0000}"/>
    <cellStyle name="Check Cell 2 9 2" xfId="8118" xr:uid="{00000000-0005-0000-0000-0000B61F0000}"/>
    <cellStyle name="Check Cell 2 9 2 2" xfId="8119" xr:uid="{00000000-0005-0000-0000-0000B71F0000}"/>
    <cellStyle name="Check Cell 2 9 3" xfId="8120" xr:uid="{00000000-0005-0000-0000-0000B81F0000}"/>
    <cellStyle name="Check Cell 3" xfId="8121" xr:uid="{00000000-0005-0000-0000-0000B91F0000}"/>
    <cellStyle name="Check Cell 3 2" xfId="8122" xr:uid="{00000000-0005-0000-0000-0000BA1F0000}"/>
    <cellStyle name="Check Cell 3 2 2" xfId="8123" xr:uid="{00000000-0005-0000-0000-0000BB1F0000}"/>
    <cellStyle name="Check Cell 3 3" xfId="8124" xr:uid="{00000000-0005-0000-0000-0000BC1F0000}"/>
    <cellStyle name="Check Cell 3 3 2" xfId="8125" xr:uid="{00000000-0005-0000-0000-0000BD1F0000}"/>
    <cellStyle name="Check Cell 3 4" xfId="8126" xr:uid="{00000000-0005-0000-0000-0000BE1F0000}"/>
    <cellStyle name="Check Cell 3 4 2" xfId="8127" xr:uid="{00000000-0005-0000-0000-0000BF1F0000}"/>
    <cellStyle name="Check Cell 3 4 2 2" xfId="8128" xr:uid="{00000000-0005-0000-0000-0000C01F0000}"/>
    <cellStyle name="Check Cell 3 4 3" xfId="8129" xr:uid="{00000000-0005-0000-0000-0000C11F0000}"/>
    <cellStyle name="Check Cell 3 5" xfId="8130" xr:uid="{00000000-0005-0000-0000-0000C21F0000}"/>
    <cellStyle name="Check Cell 4" xfId="8131" xr:uid="{00000000-0005-0000-0000-0000C31F0000}"/>
    <cellStyle name="Check Cell 4 2" xfId="8132" xr:uid="{00000000-0005-0000-0000-0000C41F0000}"/>
    <cellStyle name="Check Cell 4 2 2" xfId="8133" xr:uid="{00000000-0005-0000-0000-0000C51F0000}"/>
    <cellStyle name="Check Cell 4 3" xfId="8134" xr:uid="{00000000-0005-0000-0000-0000C61F0000}"/>
    <cellStyle name="Check Cell 4 3 2" xfId="8135" xr:uid="{00000000-0005-0000-0000-0000C71F0000}"/>
    <cellStyle name="Check Cell 4 3 2 2" xfId="8136" xr:uid="{00000000-0005-0000-0000-0000C81F0000}"/>
    <cellStyle name="Check Cell 4 3 3" xfId="8137" xr:uid="{00000000-0005-0000-0000-0000C91F0000}"/>
    <cellStyle name="Check Cell 4 4" xfId="8138" xr:uid="{00000000-0005-0000-0000-0000CA1F0000}"/>
    <cellStyle name="Check Cell 5" xfId="8139" xr:uid="{00000000-0005-0000-0000-0000CB1F0000}"/>
    <cellStyle name="Check Cell 5 2" xfId="8140" xr:uid="{00000000-0005-0000-0000-0000CC1F0000}"/>
    <cellStyle name="Check Cell 5 2 2" xfId="8141" xr:uid="{00000000-0005-0000-0000-0000CD1F0000}"/>
    <cellStyle name="Check Cell 5 3" xfId="8142" xr:uid="{00000000-0005-0000-0000-0000CE1F0000}"/>
    <cellStyle name="Check Cell 5 3 2" xfId="8143" xr:uid="{00000000-0005-0000-0000-0000CF1F0000}"/>
    <cellStyle name="Check Cell 5 3 2 2" xfId="8144" xr:uid="{00000000-0005-0000-0000-0000D01F0000}"/>
    <cellStyle name="Check Cell 5 3 3" xfId="8145" xr:uid="{00000000-0005-0000-0000-0000D11F0000}"/>
    <cellStyle name="Check Cell 5 4" xfId="8146" xr:uid="{00000000-0005-0000-0000-0000D21F0000}"/>
    <cellStyle name="Check Cell 6" xfId="8147" xr:uid="{00000000-0005-0000-0000-0000D31F0000}"/>
    <cellStyle name="Check Cell 6 2" xfId="8148" xr:uid="{00000000-0005-0000-0000-0000D41F0000}"/>
    <cellStyle name="Check Cell 6 2 2" xfId="8149" xr:uid="{00000000-0005-0000-0000-0000D51F0000}"/>
    <cellStyle name="Check Cell 6 3" xfId="8150" xr:uid="{00000000-0005-0000-0000-0000D61F0000}"/>
    <cellStyle name="Check Cell 7" xfId="8151" xr:uid="{00000000-0005-0000-0000-0000D71F0000}"/>
    <cellStyle name="Check Cell 7 2" xfId="8152" xr:uid="{00000000-0005-0000-0000-0000D81F0000}"/>
    <cellStyle name="Check Cell 8" xfId="8153" xr:uid="{00000000-0005-0000-0000-0000D91F0000}"/>
    <cellStyle name="Check Cell 9" xfId="8154" xr:uid="{00000000-0005-0000-0000-0000DA1F0000}"/>
    <cellStyle name="Comma" xfId="4" xr:uid="{00000000-0005-0000-0000-000004000000}"/>
    <cellStyle name="Comma [0]" xfId="5" xr:uid="{00000000-0005-0000-0000-000005000000}"/>
    <cellStyle name="Comma [0] 2" xfId="8155" xr:uid="{00000000-0005-0000-0000-0000DB1F0000}"/>
    <cellStyle name="Comma [0] 3" xfId="8156" xr:uid="{00000000-0005-0000-0000-0000DC1F0000}"/>
    <cellStyle name="Comma [0] 4" xfId="8157" xr:uid="{00000000-0005-0000-0000-0000DD1F0000}"/>
    <cellStyle name="Comma 10" xfId="8158" xr:uid="{00000000-0005-0000-0000-0000DE1F0000}"/>
    <cellStyle name="Comma 11" xfId="8159" xr:uid="{00000000-0005-0000-0000-0000DF1F0000}"/>
    <cellStyle name="Comma 12" xfId="50" xr:uid="{00000000-0005-0000-0000-000032000000}"/>
    <cellStyle name="Comma 13" xfId="51" xr:uid="{00000000-0005-0000-0000-000033000000}"/>
    <cellStyle name="Comma 14" xfId="8160" xr:uid="{00000000-0005-0000-0000-0000E01F0000}"/>
    <cellStyle name="Comma 15" xfId="8161" xr:uid="{00000000-0005-0000-0000-0000E11F0000}"/>
    <cellStyle name="Comma 16" xfId="8162" xr:uid="{00000000-0005-0000-0000-0000E21F0000}"/>
    <cellStyle name="Comma 17" xfId="8163" xr:uid="{00000000-0005-0000-0000-0000E31F0000}"/>
    <cellStyle name="Comma 176" xfId="8164" xr:uid="{00000000-0005-0000-0000-0000E41F0000}"/>
    <cellStyle name="Comma 18" xfId="8165" xr:uid="{00000000-0005-0000-0000-0000E51F0000}"/>
    <cellStyle name="Comma 19" xfId="8166" xr:uid="{00000000-0005-0000-0000-0000E61F0000}"/>
    <cellStyle name="Comma 2" xfId="8" xr:uid="{00000000-0005-0000-0000-000008000000}"/>
    <cellStyle name="Comma 2 2" xfId="8167" xr:uid="{00000000-0005-0000-0000-0000E71F0000}"/>
    <cellStyle name="Comma 2 2 2" xfId="9" xr:uid="{00000000-0005-0000-0000-000009000000}"/>
    <cellStyle name="Comma 2 2 2 2" xfId="8168" xr:uid="{00000000-0005-0000-0000-0000E81F0000}"/>
    <cellStyle name="Comma 2 2 3" xfId="8169" xr:uid="{00000000-0005-0000-0000-0000E91F0000}"/>
    <cellStyle name="Comma 2 3" xfId="8170" xr:uid="{00000000-0005-0000-0000-0000EA1F0000}"/>
    <cellStyle name="Comma 2 3 2" xfId="8171" xr:uid="{00000000-0005-0000-0000-0000EB1F0000}"/>
    <cellStyle name="Comma 2 3 3" xfId="8172" xr:uid="{00000000-0005-0000-0000-0000EC1F0000}"/>
    <cellStyle name="Comma 2 4" xfId="8173" xr:uid="{00000000-0005-0000-0000-0000ED1F0000}"/>
    <cellStyle name="Comma 2 4 2" xfId="8174" xr:uid="{00000000-0005-0000-0000-0000EE1F0000}"/>
    <cellStyle name="Comma 2 4 3" xfId="8175" xr:uid="{00000000-0005-0000-0000-0000EF1F0000}"/>
    <cellStyle name="Comma 2 4 3 2" xfId="8176" xr:uid="{00000000-0005-0000-0000-0000F01F0000}"/>
    <cellStyle name="Comma 2 4 4" xfId="8177" xr:uid="{00000000-0005-0000-0000-0000F11F0000}"/>
    <cellStyle name="Comma 2 5" xfId="8178" xr:uid="{00000000-0005-0000-0000-0000F21F0000}"/>
    <cellStyle name="Comma 20" xfId="8179" xr:uid="{00000000-0005-0000-0000-0000F31F0000}"/>
    <cellStyle name="Comma 21" xfId="8180" xr:uid="{00000000-0005-0000-0000-0000F41F0000}"/>
    <cellStyle name="Comma 22" xfId="8181" xr:uid="{00000000-0005-0000-0000-0000F51F0000}"/>
    <cellStyle name="Comma 23" xfId="8182" xr:uid="{00000000-0005-0000-0000-0000F61F0000}"/>
    <cellStyle name="Comma 24" xfId="8183" xr:uid="{00000000-0005-0000-0000-0000F71F0000}"/>
    <cellStyle name="Comma 25" xfId="8184" xr:uid="{00000000-0005-0000-0000-0000F81F0000}"/>
    <cellStyle name="Comma 26" xfId="8185" xr:uid="{00000000-0005-0000-0000-0000F91F0000}"/>
    <cellStyle name="Comma 27" xfId="8186" xr:uid="{00000000-0005-0000-0000-0000FA1F0000}"/>
    <cellStyle name="Comma 28" xfId="8187" xr:uid="{00000000-0005-0000-0000-0000FB1F0000}"/>
    <cellStyle name="Comma 29" xfId="8188" xr:uid="{00000000-0005-0000-0000-0000FC1F0000}"/>
    <cellStyle name="Comma 3" xfId="8189" xr:uid="{00000000-0005-0000-0000-0000FD1F0000}"/>
    <cellStyle name="Comma 3 2" xfId="8190" xr:uid="{00000000-0005-0000-0000-0000FE1F0000}"/>
    <cellStyle name="Comma 3 2 2" xfId="8191" xr:uid="{00000000-0005-0000-0000-0000FF1F0000}"/>
    <cellStyle name="Comma 3 2 2 2" xfId="8192" xr:uid="{00000000-0005-0000-0000-000000200000}"/>
    <cellStyle name="Comma 3 2 2 3" xfId="8193" xr:uid="{00000000-0005-0000-0000-000001200000}"/>
    <cellStyle name="Comma 3 2 2 3 2" xfId="8194" xr:uid="{00000000-0005-0000-0000-000002200000}"/>
    <cellStyle name="Comma 3 2 2 4" xfId="8195" xr:uid="{00000000-0005-0000-0000-000003200000}"/>
    <cellStyle name="Comma 3 2 2 4 2" xfId="8196" xr:uid="{00000000-0005-0000-0000-000004200000}"/>
    <cellStyle name="Comma 3 2 3" xfId="8197" xr:uid="{00000000-0005-0000-0000-000005200000}"/>
    <cellStyle name="Comma 3 2 3 2" xfId="8198" xr:uid="{00000000-0005-0000-0000-000006200000}"/>
    <cellStyle name="Comma 3 2 4" xfId="8199" xr:uid="{00000000-0005-0000-0000-000007200000}"/>
    <cellStyle name="Comma 3 2 5" xfId="8200" xr:uid="{00000000-0005-0000-0000-000008200000}"/>
    <cellStyle name="Comma 3 3" xfId="8201" xr:uid="{00000000-0005-0000-0000-000009200000}"/>
    <cellStyle name="Comma 3 3 2" xfId="8202" xr:uid="{00000000-0005-0000-0000-00000A200000}"/>
    <cellStyle name="Comma 3 4" xfId="8203" xr:uid="{00000000-0005-0000-0000-00000B200000}"/>
    <cellStyle name="Comma 3 4 2" xfId="8204" xr:uid="{00000000-0005-0000-0000-00000C200000}"/>
    <cellStyle name="Comma 3 5" xfId="8205" xr:uid="{00000000-0005-0000-0000-00000D200000}"/>
    <cellStyle name="Comma 3 5 2" xfId="8206" xr:uid="{00000000-0005-0000-0000-00000E200000}"/>
    <cellStyle name="Comma 3 5 3" xfId="8207" xr:uid="{00000000-0005-0000-0000-00000F200000}"/>
    <cellStyle name="Comma 3 5 3 2" xfId="8208" xr:uid="{00000000-0005-0000-0000-000010200000}"/>
    <cellStyle name="Comma 3 5 4" xfId="8209" xr:uid="{00000000-0005-0000-0000-000011200000}"/>
    <cellStyle name="Comma 3 5 4 2" xfId="8210" xr:uid="{00000000-0005-0000-0000-000012200000}"/>
    <cellStyle name="Comma 3 6" xfId="8211" xr:uid="{00000000-0005-0000-0000-000013200000}"/>
    <cellStyle name="Comma 3 6 2" xfId="8212" xr:uid="{00000000-0005-0000-0000-000014200000}"/>
    <cellStyle name="Comma 3 7" xfId="8213" xr:uid="{00000000-0005-0000-0000-000015200000}"/>
    <cellStyle name="Comma 3 8" xfId="8214" xr:uid="{00000000-0005-0000-0000-000016200000}"/>
    <cellStyle name="Comma 30" xfId="8215" xr:uid="{00000000-0005-0000-0000-000017200000}"/>
    <cellStyle name="Comma 31" xfId="8216" xr:uid="{00000000-0005-0000-0000-000018200000}"/>
    <cellStyle name="Comma 35" xfId="52" xr:uid="{00000000-0005-0000-0000-000034000000}"/>
    <cellStyle name="Comma 37" xfId="53" xr:uid="{00000000-0005-0000-0000-000035000000}"/>
    <cellStyle name="Comma 38" xfId="54" xr:uid="{00000000-0005-0000-0000-000036000000}"/>
    <cellStyle name="Comma 39" xfId="55" xr:uid="{00000000-0005-0000-0000-000037000000}"/>
    <cellStyle name="Comma 4" xfId="8217" xr:uid="{00000000-0005-0000-0000-000019200000}"/>
    <cellStyle name="Comma 4 2" xfId="8218" xr:uid="{00000000-0005-0000-0000-00001A200000}"/>
    <cellStyle name="Comma 4 2 2" xfId="8219" xr:uid="{00000000-0005-0000-0000-00001B200000}"/>
    <cellStyle name="Comma 4 3" xfId="8220" xr:uid="{00000000-0005-0000-0000-00001C200000}"/>
    <cellStyle name="Comma 5" xfId="10" xr:uid="{00000000-0005-0000-0000-00000A000000}"/>
    <cellStyle name="Comma 5 2" xfId="8221" xr:uid="{00000000-0005-0000-0000-00001D200000}"/>
    <cellStyle name="Comma 5 2 2" xfId="8222" xr:uid="{00000000-0005-0000-0000-00001E200000}"/>
    <cellStyle name="Comma 5 3" xfId="8223" xr:uid="{00000000-0005-0000-0000-00001F200000}"/>
    <cellStyle name="Comma 6" xfId="8224" xr:uid="{00000000-0005-0000-0000-000020200000}"/>
    <cellStyle name="Comma 6 2" xfId="8225" xr:uid="{00000000-0005-0000-0000-000021200000}"/>
    <cellStyle name="Comma 6 3" xfId="8226" xr:uid="{00000000-0005-0000-0000-000022200000}"/>
    <cellStyle name="Comma 7" xfId="56" xr:uid="{00000000-0005-0000-0000-000038000000}"/>
    <cellStyle name="Comma 7 2" xfId="8227" xr:uid="{00000000-0005-0000-0000-000023200000}"/>
    <cellStyle name="Comma 7 3" xfId="8228" xr:uid="{00000000-0005-0000-0000-000024200000}"/>
    <cellStyle name="Comma 7 3 2" xfId="8229" xr:uid="{00000000-0005-0000-0000-000025200000}"/>
    <cellStyle name="Comma 7 4" xfId="8230" xr:uid="{00000000-0005-0000-0000-000026200000}"/>
    <cellStyle name="Comma 7 4 2" xfId="8231" xr:uid="{00000000-0005-0000-0000-000027200000}"/>
    <cellStyle name="Comma 8" xfId="57" xr:uid="{00000000-0005-0000-0000-000039000000}"/>
    <cellStyle name="Comma 8 2" xfId="8232" xr:uid="{00000000-0005-0000-0000-000028200000}"/>
    <cellStyle name="Comma 8 2 2" xfId="8233" xr:uid="{00000000-0005-0000-0000-000029200000}"/>
    <cellStyle name="Comma 8 3" xfId="8234" xr:uid="{00000000-0005-0000-0000-00002A200000}"/>
    <cellStyle name="Comma 8 4" xfId="8235" xr:uid="{00000000-0005-0000-0000-00002B200000}"/>
    <cellStyle name="Comma 8 4 2" xfId="8236" xr:uid="{00000000-0005-0000-0000-00002C200000}"/>
    <cellStyle name="Comma 8 5" xfId="8237" xr:uid="{00000000-0005-0000-0000-00002D200000}"/>
    <cellStyle name="Comma 8 6" xfId="8238" xr:uid="{00000000-0005-0000-0000-00002E200000}"/>
    <cellStyle name="Comma 9" xfId="8239" xr:uid="{00000000-0005-0000-0000-00002F200000}"/>
    <cellStyle name="Comma 9 2" xfId="8240" xr:uid="{00000000-0005-0000-0000-000030200000}"/>
    <cellStyle name="Comma 9 3" xfId="8241" xr:uid="{00000000-0005-0000-0000-000031200000}"/>
    <cellStyle name="Comma 9 3 2" xfId="8242" xr:uid="{00000000-0005-0000-0000-000032200000}"/>
    <cellStyle name="Comma 9 4" xfId="8243" xr:uid="{00000000-0005-0000-0000-000033200000}"/>
    <cellStyle name="Comma 9 4 2" xfId="8244" xr:uid="{00000000-0005-0000-0000-000034200000}"/>
    <cellStyle name="Copied" xfId="8245" xr:uid="{00000000-0005-0000-0000-000035200000}"/>
    <cellStyle name="Copied 2" xfId="8246" xr:uid="{00000000-0005-0000-0000-000036200000}"/>
    <cellStyle name="Copied 2 2" xfId="8247" xr:uid="{00000000-0005-0000-0000-000037200000}"/>
    <cellStyle name="Copied 2 2 2" xfId="8248" xr:uid="{00000000-0005-0000-0000-000038200000}"/>
    <cellStyle name="Copied 2 3" xfId="8249" xr:uid="{00000000-0005-0000-0000-000039200000}"/>
    <cellStyle name="Copied 2 3 2" xfId="8250" xr:uid="{00000000-0005-0000-0000-00003A200000}"/>
    <cellStyle name="Copied 2 3 2 2" xfId="8251" xr:uid="{00000000-0005-0000-0000-00003B200000}"/>
    <cellStyle name="Copied 2 3 3" xfId="8252" xr:uid="{00000000-0005-0000-0000-00003C200000}"/>
    <cellStyle name="Copied 2 4" xfId="8253" xr:uid="{00000000-0005-0000-0000-00003D200000}"/>
    <cellStyle name="Copied 3" xfId="8254" xr:uid="{00000000-0005-0000-0000-00003E200000}"/>
    <cellStyle name="Copied 3 2" xfId="8255" xr:uid="{00000000-0005-0000-0000-00003F200000}"/>
    <cellStyle name="Copied 3 2 2" xfId="8256" xr:uid="{00000000-0005-0000-0000-000040200000}"/>
    <cellStyle name="Copied 3 3" xfId="8257" xr:uid="{00000000-0005-0000-0000-000041200000}"/>
    <cellStyle name="Copied 4" xfId="8258" xr:uid="{00000000-0005-0000-0000-000042200000}"/>
    <cellStyle name="Copied 4 2" xfId="8259" xr:uid="{00000000-0005-0000-0000-000043200000}"/>
    <cellStyle name="Copied 4 2 2" xfId="8260" xr:uid="{00000000-0005-0000-0000-000044200000}"/>
    <cellStyle name="Copied 4 3" xfId="8261" xr:uid="{00000000-0005-0000-0000-000045200000}"/>
    <cellStyle name="Copied 5" xfId="8262" xr:uid="{00000000-0005-0000-0000-000046200000}"/>
    <cellStyle name="Copied 5 2" xfId="8263" xr:uid="{00000000-0005-0000-0000-000047200000}"/>
    <cellStyle name="Copied 6" xfId="8264" xr:uid="{00000000-0005-0000-0000-000048200000}"/>
    <cellStyle name="Copied 6 2" xfId="8265" xr:uid="{00000000-0005-0000-0000-000049200000}"/>
    <cellStyle name="Copied 7" xfId="8266" xr:uid="{00000000-0005-0000-0000-00004A200000}"/>
    <cellStyle name="CostNoZero" xfId="8267" xr:uid="{00000000-0005-0000-0000-00004B200000}"/>
    <cellStyle name="Currency" xfId="2" xr:uid="{00000000-0005-0000-0000-000002000000}"/>
    <cellStyle name="Currency [0]" xfId="3" xr:uid="{00000000-0005-0000-0000-000003000000}"/>
    <cellStyle name="Currency 10" xfId="8268" xr:uid="{00000000-0005-0000-0000-00004C200000}"/>
    <cellStyle name="Currency 11" xfId="8269" xr:uid="{00000000-0005-0000-0000-00004D200000}"/>
    <cellStyle name="Currency 12 2" xfId="31680" xr:uid="{00000000-0005-0000-0000-0000C07B0000}"/>
    <cellStyle name="Currency 2" xfId="58" xr:uid="{00000000-0005-0000-0000-00003A000000}"/>
    <cellStyle name="Currency 2 2" xfId="8270" xr:uid="{00000000-0005-0000-0000-00004E200000}"/>
    <cellStyle name="Currency 2 2 2" xfId="8271" xr:uid="{00000000-0005-0000-0000-00004F200000}"/>
    <cellStyle name="Currency 2 2 2 2" xfId="8272" xr:uid="{00000000-0005-0000-0000-000050200000}"/>
    <cellStyle name="Currency 2 2 2 3" xfId="8273" xr:uid="{00000000-0005-0000-0000-000051200000}"/>
    <cellStyle name="Currency 2 2 2 3 2" xfId="8274" xr:uid="{00000000-0005-0000-0000-000052200000}"/>
    <cellStyle name="Currency 2 2 2 4" xfId="8275" xr:uid="{00000000-0005-0000-0000-000053200000}"/>
    <cellStyle name="Currency 2 2 2 4 2" xfId="8276" xr:uid="{00000000-0005-0000-0000-000054200000}"/>
    <cellStyle name="Currency 2 2 3" xfId="8277" xr:uid="{00000000-0005-0000-0000-000055200000}"/>
    <cellStyle name="Currency 2 2 3 2" xfId="8278" xr:uid="{00000000-0005-0000-0000-000056200000}"/>
    <cellStyle name="Currency 2 2 4" xfId="8279" xr:uid="{00000000-0005-0000-0000-000057200000}"/>
    <cellStyle name="Currency 2 3" xfId="8280" xr:uid="{00000000-0005-0000-0000-000058200000}"/>
    <cellStyle name="Currency 2 3 2" xfId="8281" xr:uid="{00000000-0005-0000-0000-000059200000}"/>
    <cellStyle name="Currency 2 3 3" xfId="8282" xr:uid="{00000000-0005-0000-0000-00005A200000}"/>
    <cellStyle name="Currency 2 3 3 2" xfId="8283" xr:uid="{00000000-0005-0000-0000-00005B200000}"/>
    <cellStyle name="Currency 2 3 4" xfId="8284" xr:uid="{00000000-0005-0000-0000-00005C200000}"/>
    <cellStyle name="Currency 2 3 4 2" xfId="8285" xr:uid="{00000000-0005-0000-0000-00005D200000}"/>
    <cellStyle name="Currency 2 4" xfId="8286" xr:uid="{00000000-0005-0000-0000-00005E200000}"/>
    <cellStyle name="Currency 2 4 2" xfId="8287" xr:uid="{00000000-0005-0000-0000-00005F200000}"/>
    <cellStyle name="Currency 2 5" xfId="8288" xr:uid="{00000000-0005-0000-0000-000060200000}"/>
    <cellStyle name="Currency 2 6" xfId="8289" xr:uid="{00000000-0005-0000-0000-000061200000}"/>
    <cellStyle name="Currency 2 7" xfId="8290" xr:uid="{00000000-0005-0000-0000-000062200000}"/>
    <cellStyle name="Currency 3" xfId="8291" xr:uid="{00000000-0005-0000-0000-000063200000}"/>
    <cellStyle name="Currency 3 2" xfId="8292" xr:uid="{00000000-0005-0000-0000-000064200000}"/>
    <cellStyle name="Currency 3 2 2" xfId="8293" xr:uid="{00000000-0005-0000-0000-000065200000}"/>
    <cellStyle name="Currency 3 3" xfId="8294" xr:uid="{00000000-0005-0000-0000-000066200000}"/>
    <cellStyle name="Currency 3 3 2" xfId="8295" xr:uid="{00000000-0005-0000-0000-000067200000}"/>
    <cellStyle name="Currency 3 3 3" xfId="8296" xr:uid="{00000000-0005-0000-0000-000068200000}"/>
    <cellStyle name="Currency 3 3 3 2" xfId="8297" xr:uid="{00000000-0005-0000-0000-000069200000}"/>
    <cellStyle name="Currency 3 3 4" xfId="8298" xr:uid="{00000000-0005-0000-0000-00006A200000}"/>
    <cellStyle name="Currency 3 3 4 2" xfId="8299" xr:uid="{00000000-0005-0000-0000-00006B200000}"/>
    <cellStyle name="Currency 3 4" xfId="8300" xr:uid="{00000000-0005-0000-0000-00006C200000}"/>
    <cellStyle name="Currency 3 5" xfId="8301" xr:uid="{00000000-0005-0000-0000-00006D200000}"/>
    <cellStyle name="Currency 4" xfId="8302" xr:uid="{00000000-0005-0000-0000-00006E200000}"/>
    <cellStyle name="Currency 4 2" xfId="8303" xr:uid="{00000000-0005-0000-0000-00006F200000}"/>
    <cellStyle name="Currency 4 2 2" xfId="8304" xr:uid="{00000000-0005-0000-0000-000070200000}"/>
    <cellStyle name="Currency 4 3" xfId="8305" xr:uid="{00000000-0005-0000-0000-000071200000}"/>
    <cellStyle name="Currency 4 3 2" xfId="8306" xr:uid="{00000000-0005-0000-0000-000072200000}"/>
    <cellStyle name="Currency 4 4" xfId="8307" xr:uid="{00000000-0005-0000-0000-000073200000}"/>
    <cellStyle name="Currency 5" xfId="8308" xr:uid="{00000000-0005-0000-0000-000074200000}"/>
    <cellStyle name="Currency 5 2" xfId="8309" xr:uid="{00000000-0005-0000-0000-000075200000}"/>
    <cellStyle name="Currency 6" xfId="8310" xr:uid="{00000000-0005-0000-0000-000076200000}"/>
    <cellStyle name="Currency 6 2" xfId="8311" xr:uid="{00000000-0005-0000-0000-000077200000}"/>
    <cellStyle name="Currency 6 2 2" xfId="8312" xr:uid="{00000000-0005-0000-0000-000078200000}"/>
    <cellStyle name="Currency 6 3" xfId="8313" xr:uid="{00000000-0005-0000-0000-000079200000}"/>
    <cellStyle name="Currency 6 3 2" xfId="8314" xr:uid="{00000000-0005-0000-0000-00007A200000}"/>
    <cellStyle name="Currency 6 4" xfId="8315" xr:uid="{00000000-0005-0000-0000-00007B200000}"/>
    <cellStyle name="Currency 7" xfId="8316" xr:uid="{00000000-0005-0000-0000-00007C200000}"/>
    <cellStyle name="Currency 7 2" xfId="8317" xr:uid="{00000000-0005-0000-0000-00007D200000}"/>
    <cellStyle name="Currency 8" xfId="8318" xr:uid="{00000000-0005-0000-0000-00007E200000}"/>
    <cellStyle name="Currency 9" xfId="8319" xr:uid="{00000000-0005-0000-0000-00007F200000}"/>
    <cellStyle name="Currency.00" xfId="8320" xr:uid="{00000000-0005-0000-0000-000080200000}"/>
    <cellStyle name="Date" xfId="8321" xr:uid="{00000000-0005-0000-0000-000081200000}"/>
    <cellStyle name="Date (m/d/yy)" xfId="8322" xr:uid="{00000000-0005-0000-0000-000082200000}"/>
    <cellStyle name="Date (m/d/yy) 2" xfId="8323" xr:uid="{00000000-0005-0000-0000-000083200000}"/>
    <cellStyle name="Date_~6497230" xfId="8324" xr:uid="{00000000-0005-0000-0000-000084200000}"/>
    <cellStyle name="Decimal" xfId="8325" xr:uid="{00000000-0005-0000-0000-000085200000}"/>
    <cellStyle name="Emphasis 1" xfId="8326" xr:uid="{00000000-0005-0000-0000-000086200000}"/>
    <cellStyle name="Emphasis 1 10" xfId="8327" xr:uid="{00000000-0005-0000-0000-000087200000}"/>
    <cellStyle name="Emphasis 1 2" xfId="8328" xr:uid="{00000000-0005-0000-0000-000088200000}"/>
    <cellStyle name="Emphasis 1 2 2" xfId="8329" xr:uid="{00000000-0005-0000-0000-000089200000}"/>
    <cellStyle name="Emphasis 1 2 2 2" xfId="8330" xr:uid="{00000000-0005-0000-0000-00008A200000}"/>
    <cellStyle name="Emphasis 1 2 3" xfId="8331" xr:uid="{00000000-0005-0000-0000-00008B200000}"/>
    <cellStyle name="Emphasis 1 2 3 2" xfId="8332" xr:uid="{00000000-0005-0000-0000-00008C200000}"/>
    <cellStyle name="Emphasis 1 2 3 2 2" xfId="8333" xr:uid="{00000000-0005-0000-0000-00008D200000}"/>
    <cellStyle name="Emphasis 1 2 3 3" xfId="8334" xr:uid="{00000000-0005-0000-0000-00008E200000}"/>
    <cellStyle name="Emphasis 1 2 4" xfId="8335" xr:uid="{00000000-0005-0000-0000-00008F200000}"/>
    <cellStyle name="Emphasis 1 2 4 2" xfId="8336" xr:uid="{00000000-0005-0000-0000-000090200000}"/>
    <cellStyle name="Emphasis 1 2 4 2 2" xfId="8337" xr:uid="{00000000-0005-0000-0000-000091200000}"/>
    <cellStyle name="Emphasis 1 2 4 3" xfId="8338" xr:uid="{00000000-0005-0000-0000-000092200000}"/>
    <cellStyle name="Emphasis 1 2 5" xfId="8339" xr:uid="{00000000-0005-0000-0000-000093200000}"/>
    <cellStyle name="Emphasis 1 3" xfId="8340" xr:uid="{00000000-0005-0000-0000-000094200000}"/>
    <cellStyle name="Emphasis 1 3 2" xfId="8341" xr:uid="{00000000-0005-0000-0000-000095200000}"/>
    <cellStyle name="Emphasis 1 3 2 2" xfId="8342" xr:uid="{00000000-0005-0000-0000-000096200000}"/>
    <cellStyle name="Emphasis 1 3 3" xfId="8343" xr:uid="{00000000-0005-0000-0000-000097200000}"/>
    <cellStyle name="Emphasis 1 4" xfId="8344" xr:uid="{00000000-0005-0000-0000-000098200000}"/>
    <cellStyle name="Emphasis 1 4 2" xfId="8345" xr:uid="{00000000-0005-0000-0000-000099200000}"/>
    <cellStyle name="Emphasis 1 5" xfId="8346" xr:uid="{00000000-0005-0000-0000-00009A200000}"/>
    <cellStyle name="Emphasis 1 5 2" xfId="8347" xr:uid="{00000000-0005-0000-0000-00009B200000}"/>
    <cellStyle name="Emphasis 1 6" xfId="8348" xr:uid="{00000000-0005-0000-0000-00009C200000}"/>
    <cellStyle name="Emphasis 1 6 2" xfId="8349" xr:uid="{00000000-0005-0000-0000-00009D200000}"/>
    <cellStyle name="Emphasis 1 6 2 2" xfId="8350" xr:uid="{00000000-0005-0000-0000-00009E200000}"/>
    <cellStyle name="Emphasis 1 6 3" xfId="8351" xr:uid="{00000000-0005-0000-0000-00009F200000}"/>
    <cellStyle name="Emphasis 1 7" xfId="8352" xr:uid="{00000000-0005-0000-0000-0000A0200000}"/>
    <cellStyle name="Emphasis 1 7 2" xfId="8353" xr:uid="{00000000-0005-0000-0000-0000A1200000}"/>
    <cellStyle name="Emphasis 1 8" xfId="8354" xr:uid="{00000000-0005-0000-0000-0000A2200000}"/>
    <cellStyle name="Emphasis 1 8 2" xfId="8355" xr:uid="{00000000-0005-0000-0000-0000A3200000}"/>
    <cellStyle name="Emphasis 1 9" xfId="8356" xr:uid="{00000000-0005-0000-0000-0000A4200000}"/>
    <cellStyle name="Emphasis 2" xfId="8357" xr:uid="{00000000-0005-0000-0000-0000A5200000}"/>
    <cellStyle name="Emphasis 2 10" xfId="8358" xr:uid="{00000000-0005-0000-0000-0000A6200000}"/>
    <cellStyle name="Emphasis 2 2" xfId="8359" xr:uid="{00000000-0005-0000-0000-0000A7200000}"/>
    <cellStyle name="Emphasis 2 2 2" xfId="8360" xr:uid="{00000000-0005-0000-0000-0000A8200000}"/>
    <cellStyle name="Emphasis 2 2 2 2" xfId="8361" xr:uid="{00000000-0005-0000-0000-0000A9200000}"/>
    <cellStyle name="Emphasis 2 2 3" xfId="8362" xr:uid="{00000000-0005-0000-0000-0000AA200000}"/>
    <cellStyle name="Emphasis 2 2 3 2" xfId="8363" xr:uid="{00000000-0005-0000-0000-0000AB200000}"/>
    <cellStyle name="Emphasis 2 2 3 2 2" xfId="8364" xr:uid="{00000000-0005-0000-0000-0000AC200000}"/>
    <cellStyle name="Emphasis 2 2 3 3" xfId="8365" xr:uid="{00000000-0005-0000-0000-0000AD200000}"/>
    <cellStyle name="Emphasis 2 2 4" xfId="8366" xr:uid="{00000000-0005-0000-0000-0000AE200000}"/>
    <cellStyle name="Emphasis 2 2 4 2" xfId="8367" xr:uid="{00000000-0005-0000-0000-0000AF200000}"/>
    <cellStyle name="Emphasis 2 2 4 2 2" xfId="8368" xr:uid="{00000000-0005-0000-0000-0000B0200000}"/>
    <cellStyle name="Emphasis 2 2 4 3" xfId="8369" xr:uid="{00000000-0005-0000-0000-0000B1200000}"/>
    <cellStyle name="Emphasis 2 2 5" xfId="8370" xr:uid="{00000000-0005-0000-0000-0000B2200000}"/>
    <cellStyle name="Emphasis 2 3" xfId="8371" xr:uid="{00000000-0005-0000-0000-0000B3200000}"/>
    <cellStyle name="Emphasis 2 3 2" xfId="8372" xr:uid="{00000000-0005-0000-0000-0000B4200000}"/>
    <cellStyle name="Emphasis 2 3 2 2" xfId="8373" xr:uid="{00000000-0005-0000-0000-0000B5200000}"/>
    <cellStyle name="Emphasis 2 3 3" xfId="8374" xr:uid="{00000000-0005-0000-0000-0000B6200000}"/>
    <cellStyle name="Emphasis 2 4" xfId="8375" xr:uid="{00000000-0005-0000-0000-0000B7200000}"/>
    <cellStyle name="Emphasis 2 4 2" xfId="8376" xr:uid="{00000000-0005-0000-0000-0000B8200000}"/>
    <cellStyle name="Emphasis 2 5" xfId="8377" xr:uid="{00000000-0005-0000-0000-0000B9200000}"/>
    <cellStyle name="Emphasis 2 5 2" xfId="8378" xr:uid="{00000000-0005-0000-0000-0000BA200000}"/>
    <cellStyle name="Emphasis 2 6" xfId="8379" xr:uid="{00000000-0005-0000-0000-0000BB200000}"/>
    <cellStyle name="Emphasis 2 6 2" xfId="8380" xr:uid="{00000000-0005-0000-0000-0000BC200000}"/>
    <cellStyle name="Emphasis 2 6 2 2" xfId="8381" xr:uid="{00000000-0005-0000-0000-0000BD200000}"/>
    <cellStyle name="Emphasis 2 6 3" xfId="8382" xr:uid="{00000000-0005-0000-0000-0000BE200000}"/>
    <cellStyle name="Emphasis 2 7" xfId="8383" xr:uid="{00000000-0005-0000-0000-0000BF200000}"/>
    <cellStyle name="Emphasis 2 7 2" xfId="8384" xr:uid="{00000000-0005-0000-0000-0000C0200000}"/>
    <cellStyle name="Emphasis 2 8" xfId="8385" xr:uid="{00000000-0005-0000-0000-0000C1200000}"/>
    <cellStyle name="Emphasis 2 8 2" xfId="8386" xr:uid="{00000000-0005-0000-0000-0000C2200000}"/>
    <cellStyle name="Emphasis 2 9" xfId="8387" xr:uid="{00000000-0005-0000-0000-0000C3200000}"/>
    <cellStyle name="Emphasis 3" xfId="8388" xr:uid="{00000000-0005-0000-0000-0000C4200000}"/>
    <cellStyle name="Emphasis 3 2" xfId="8389" xr:uid="{00000000-0005-0000-0000-0000C5200000}"/>
    <cellStyle name="Emphasis 3 2 2" xfId="8390" xr:uid="{00000000-0005-0000-0000-0000C6200000}"/>
    <cellStyle name="Emphasis 3 2 2 2" xfId="8391" xr:uid="{00000000-0005-0000-0000-0000C7200000}"/>
    <cellStyle name="Emphasis 3 2 3" xfId="8392" xr:uid="{00000000-0005-0000-0000-0000C8200000}"/>
    <cellStyle name="Emphasis 3 2 3 2" xfId="8393" xr:uid="{00000000-0005-0000-0000-0000C9200000}"/>
    <cellStyle name="Emphasis 3 2 3 2 2" xfId="8394" xr:uid="{00000000-0005-0000-0000-0000CA200000}"/>
    <cellStyle name="Emphasis 3 2 3 3" xfId="8395" xr:uid="{00000000-0005-0000-0000-0000CB200000}"/>
    <cellStyle name="Emphasis 3 2 4" xfId="8396" xr:uid="{00000000-0005-0000-0000-0000CC200000}"/>
    <cellStyle name="Emphasis 3 3" xfId="8397" xr:uid="{00000000-0005-0000-0000-0000CD200000}"/>
    <cellStyle name="Emphasis 3 3 2" xfId="8398" xr:uid="{00000000-0005-0000-0000-0000CE200000}"/>
    <cellStyle name="Emphasis 3 3 2 2" xfId="8399" xr:uid="{00000000-0005-0000-0000-0000CF200000}"/>
    <cellStyle name="Emphasis 3 3 3" xfId="8400" xr:uid="{00000000-0005-0000-0000-0000D0200000}"/>
    <cellStyle name="Emphasis 3 4" xfId="8401" xr:uid="{00000000-0005-0000-0000-0000D1200000}"/>
    <cellStyle name="Emphasis 3 4 2" xfId="8402" xr:uid="{00000000-0005-0000-0000-0000D2200000}"/>
    <cellStyle name="Emphasis 3 5" xfId="8403" xr:uid="{00000000-0005-0000-0000-0000D3200000}"/>
    <cellStyle name="Emphasis 3 5 2" xfId="8404" xr:uid="{00000000-0005-0000-0000-0000D4200000}"/>
    <cellStyle name="Emphasis 3 6" xfId="8405" xr:uid="{00000000-0005-0000-0000-0000D5200000}"/>
    <cellStyle name="Emphasis 3 7" xfId="8406" xr:uid="{00000000-0005-0000-0000-0000D6200000}"/>
    <cellStyle name="Entered" xfId="8407" xr:uid="{00000000-0005-0000-0000-0000D7200000}"/>
    <cellStyle name="Entered 2" xfId="8408" xr:uid="{00000000-0005-0000-0000-0000D8200000}"/>
    <cellStyle name="Entered 2 2" xfId="8409" xr:uid="{00000000-0005-0000-0000-0000D9200000}"/>
    <cellStyle name="Entered 2 2 2" xfId="8410" xr:uid="{00000000-0005-0000-0000-0000DA200000}"/>
    <cellStyle name="Entered 2 3" xfId="8411" xr:uid="{00000000-0005-0000-0000-0000DB200000}"/>
    <cellStyle name="Entered 2 3 2" xfId="8412" xr:uid="{00000000-0005-0000-0000-0000DC200000}"/>
    <cellStyle name="Entered 2 3 2 2" xfId="8413" xr:uid="{00000000-0005-0000-0000-0000DD200000}"/>
    <cellStyle name="Entered 2 3 3" xfId="8414" xr:uid="{00000000-0005-0000-0000-0000DE200000}"/>
    <cellStyle name="Entered 2 4" xfId="8415" xr:uid="{00000000-0005-0000-0000-0000DF200000}"/>
    <cellStyle name="Entered 3" xfId="8416" xr:uid="{00000000-0005-0000-0000-0000E0200000}"/>
    <cellStyle name="Entered 3 2" xfId="8417" xr:uid="{00000000-0005-0000-0000-0000E1200000}"/>
    <cellStyle name="Entered 3 2 2" xfId="8418" xr:uid="{00000000-0005-0000-0000-0000E2200000}"/>
    <cellStyle name="Entered 3 3" xfId="8419" xr:uid="{00000000-0005-0000-0000-0000E3200000}"/>
    <cellStyle name="Entered 4" xfId="8420" xr:uid="{00000000-0005-0000-0000-0000E4200000}"/>
    <cellStyle name="Entered 4 2" xfId="8421" xr:uid="{00000000-0005-0000-0000-0000E5200000}"/>
    <cellStyle name="Entered 4 2 2" xfId="8422" xr:uid="{00000000-0005-0000-0000-0000E6200000}"/>
    <cellStyle name="Entered 4 3" xfId="8423" xr:uid="{00000000-0005-0000-0000-0000E7200000}"/>
    <cellStyle name="Entered 5" xfId="8424" xr:uid="{00000000-0005-0000-0000-0000E8200000}"/>
    <cellStyle name="Entered 5 2" xfId="8425" xr:uid="{00000000-0005-0000-0000-0000E9200000}"/>
    <cellStyle name="Entered 6" xfId="8426" xr:uid="{00000000-0005-0000-0000-0000EA200000}"/>
    <cellStyle name="Entered 6 2" xfId="8427" xr:uid="{00000000-0005-0000-0000-0000EB200000}"/>
    <cellStyle name="Entered 7" xfId="8428" xr:uid="{00000000-0005-0000-0000-0000EC200000}"/>
    <cellStyle name="Euro" xfId="8429" xr:uid="{00000000-0005-0000-0000-0000ED200000}"/>
    <cellStyle name="Euro 2" xfId="8430" xr:uid="{00000000-0005-0000-0000-0000EE200000}"/>
    <cellStyle name="Euro 2 2" xfId="8431" xr:uid="{00000000-0005-0000-0000-0000EF200000}"/>
    <cellStyle name="Euro 2 2 2" xfId="8432" xr:uid="{00000000-0005-0000-0000-0000F0200000}"/>
    <cellStyle name="Euro 2 2 2 2" xfId="8433" xr:uid="{00000000-0005-0000-0000-0000F1200000}"/>
    <cellStyle name="Euro 2 2 3" xfId="8434" xr:uid="{00000000-0005-0000-0000-0000F2200000}"/>
    <cellStyle name="Euro 2 3" xfId="8435" xr:uid="{00000000-0005-0000-0000-0000F3200000}"/>
    <cellStyle name="Euro 2 3 2" xfId="8436" xr:uid="{00000000-0005-0000-0000-0000F4200000}"/>
    <cellStyle name="Euro 2 3 2 2" xfId="8437" xr:uid="{00000000-0005-0000-0000-0000F5200000}"/>
    <cellStyle name="Euro 2 3 3" xfId="8438" xr:uid="{00000000-0005-0000-0000-0000F6200000}"/>
    <cellStyle name="Euro 2 4" xfId="8439" xr:uid="{00000000-0005-0000-0000-0000F7200000}"/>
    <cellStyle name="Euro 3" xfId="8440" xr:uid="{00000000-0005-0000-0000-0000F8200000}"/>
    <cellStyle name="Euro 3 2" xfId="8441" xr:uid="{00000000-0005-0000-0000-0000F9200000}"/>
    <cellStyle name="Euro 3 2 2" xfId="8442" xr:uid="{00000000-0005-0000-0000-0000FA200000}"/>
    <cellStyle name="Euro 3 3" xfId="8443" xr:uid="{00000000-0005-0000-0000-0000FB200000}"/>
    <cellStyle name="Euro 4" xfId="8444" xr:uid="{00000000-0005-0000-0000-0000FC200000}"/>
    <cellStyle name="Euro 4 2" xfId="8445" xr:uid="{00000000-0005-0000-0000-0000FD200000}"/>
    <cellStyle name="Euro 4 2 2" xfId="8446" xr:uid="{00000000-0005-0000-0000-0000FE200000}"/>
    <cellStyle name="Euro 4 3" xfId="8447" xr:uid="{00000000-0005-0000-0000-0000FF200000}"/>
    <cellStyle name="Euro 5" xfId="8448" xr:uid="{00000000-0005-0000-0000-000000210000}"/>
    <cellStyle name="Euro 5 2" xfId="8449" xr:uid="{00000000-0005-0000-0000-000001210000}"/>
    <cellStyle name="Euro 6" xfId="8450" xr:uid="{00000000-0005-0000-0000-000002210000}"/>
    <cellStyle name="Explanatory Text 2" xfId="8451" xr:uid="{00000000-0005-0000-0000-000003210000}"/>
    <cellStyle name="Explanatory Text 2 10" xfId="8452" xr:uid="{00000000-0005-0000-0000-000004210000}"/>
    <cellStyle name="Explanatory Text 2 2" xfId="8453" xr:uid="{00000000-0005-0000-0000-000005210000}"/>
    <cellStyle name="Explanatory Text 2 2 2" xfId="8454" xr:uid="{00000000-0005-0000-0000-000006210000}"/>
    <cellStyle name="Explanatory Text 2 2 2 2" xfId="8455" xr:uid="{00000000-0005-0000-0000-000007210000}"/>
    <cellStyle name="Explanatory Text 2 2 3" xfId="8456" xr:uid="{00000000-0005-0000-0000-000008210000}"/>
    <cellStyle name="Explanatory Text 2 2 3 2" xfId="8457" xr:uid="{00000000-0005-0000-0000-000009210000}"/>
    <cellStyle name="Explanatory Text 2 2 3 2 2" xfId="8458" xr:uid="{00000000-0005-0000-0000-00000A210000}"/>
    <cellStyle name="Explanatory Text 2 2 3 3" xfId="8459" xr:uid="{00000000-0005-0000-0000-00000B210000}"/>
    <cellStyle name="Explanatory Text 2 2 4" xfId="8460" xr:uid="{00000000-0005-0000-0000-00000C210000}"/>
    <cellStyle name="Explanatory Text 2 3" xfId="8461" xr:uid="{00000000-0005-0000-0000-00000D210000}"/>
    <cellStyle name="Explanatory Text 2 3 2" xfId="8462" xr:uid="{00000000-0005-0000-0000-00000E210000}"/>
    <cellStyle name="Explanatory Text 2 3 2 2" xfId="8463" xr:uid="{00000000-0005-0000-0000-00000F210000}"/>
    <cellStyle name="Explanatory Text 2 3 3" xfId="8464" xr:uid="{00000000-0005-0000-0000-000010210000}"/>
    <cellStyle name="Explanatory Text 2 3 3 2" xfId="8465" xr:uid="{00000000-0005-0000-0000-000011210000}"/>
    <cellStyle name="Explanatory Text 2 3 3 2 2" xfId="8466" xr:uid="{00000000-0005-0000-0000-000012210000}"/>
    <cellStyle name="Explanatory Text 2 3 3 3" xfId="8467" xr:uid="{00000000-0005-0000-0000-000013210000}"/>
    <cellStyle name="Explanatory Text 2 3 4" xfId="8468" xr:uid="{00000000-0005-0000-0000-000014210000}"/>
    <cellStyle name="Explanatory Text 2 4" xfId="8469" xr:uid="{00000000-0005-0000-0000-000015210000}"/>
    <cellStyle name="Explanatory Text 2 4 2" xfId="8470" xr:uid="{00000000-0005-0000-0000-000016210000}"/>
    <cellStyle name="Explanatory Text 2 4 2 2" xfId="8471" xr:uid="{00000000-0005-0000-0000-000017210000}"/>
    <cellStyle name="Explanatory Text 2 4 3" xfId="8472" xr:uid="{00000000-0005-0000-0000-000018210000}"/>
    <cellStyle name="Explanatory Text 2 5" xfId="8473" xr:uid="{00000000-0005-0000-0000-000019210000}"/>
    <cellStyle name="Explanatory Text 2 5 2" xfId="8474" xr:uid="{00000000-0005-0000-0000-00001A210000}"/>
    <cellStyle name="Explanatory Text 2 5 2 2" xfId="8475" xr:uid="{00000000-0005-0000-0000-00001B210000}"/>
    <cellStyle name="Explanatory Text 2 5 3" xfId="8476" xr:uid="{00000000-0005-0000-0000-00001C210000}"/>
    <cellStyle name="Explanatory Text 2 5 3 2" xfId="8477" xr:uid="{00000000-0005-0000-0000-00001D210000}"/>
    <cellStyle name="Explanatory Text 2 5 3 2 2" xfId="8478" xr:uid="{00000000-0005-0000-0000-00001E210000}"/>
    <cellStyle name="Explanatory Text 2 5 3 3" xfId="8479" xr:uid="{00000000-0005-0000-0000-00001F210000}"/>
    <cellStyle name="Explanatory Text 2 5 4" xfId="8480" xr:uid="{00000000-0005-0000-0000-000020210000}"/>
    <cellStyle name="Explanatory Text 2 6" xfId="8481" xr:uid="{00000000-0005-0000-0000-000021210000}"/>
    <cellStyle name="Explanatory Text 2 6 2" xfId="8482" xr:uid="{00000000-0005-0000-0000-000022210000}"/>
    <cellStyle name="Explanatory Text 2 7" xfId="8483" xr:uid="{00000000-0005-0000-0000-000023210000}"/>
    <cellStyle name="Explanatory Text 2 7 2" xfId="8484" xr:uid="{00000000-0005-0000-0000-000024210000}"/>
    <cellStyle name="Explanatory Text 2 8" xfId="8485" xr:uid="{00000000-0005-0000-0000-000025210000}"/>
    <cellStyle name="Explanatory Text 2 8 2" xfId="8486" xr:uid="{00000000-0005-0000-0000-000026210000}"/>
    <cellStyle name="Explanatory Text 2 8 2 2" xfId="8487" xr:uid="{00000000-0005-0000-0000-000027210000}"/>
    <cellStyle name="Explanatory Text 2 8 3" xfId="8488" xr:uid="{00000000-0005-0000-0000-000028210000}"/>
    <cellStyle name="Explanatory Text 2 9" xfId="8489" xr:uid="{00000000-0005-0000-0000-000029210000}"/>
    <cellStyle name="Explanatory Text 2 9 2" xfId="8490" xr:uid="{00000000-0005-0000-0000-00002A210000}"/>
    <cellStyle name="Explanatory Text 2 9 2 2" xfId="8491" xr:uid="{00000000-0005-0000-0000-00002B210000}"/>
    <cellStyle name="Explanatory Text 2 9 3" xfId="8492" xr:uid="{00000000-0005-0000-0000-00002C210000}"/>
    <cellStyle name="Explanatory Text 3" xfId="8493" xr:uid="{00000000-0005-0000-0000-00002D210000}"/>
    <cellStyle name="Explanatory Text 3 2" xfId="8494" xr:uid="{00000000-0005-0000-0000-00002E210000}"/>
    <cellStyle name="Explanatory Text 3 2 2" xfId="8495" xr:uid="{00000000-0005-0000-0000-00002F210000}"/>
    <cellStyle name="Explanatory Text 3 3" xfId="8496" xr:uid="{00000000-0005-0000-0000-000030210000}"/>
    <cellStyle name="Explanatory Text 3 3 2" xfId="8497" xr:uid="{00000000-0005-0000-0000-000031210000}"/>
    <cellStyle name="Explanatory Text 3 4" xfId="8498" xr:uid="{00000000-0005-0000-0000-000032210000}"/>
    <cellStyle name="Explanatory Text 3 4 2" xfId="8499" xr:uid="{00000000-0005-0000-0000-000033210000}"/>
    <cellStyle name="Explanatory Text 3 4 2 2" xfId="8500" xr:uid="{00000000-0005-0000-0000-000034210000}"/>
    <cellStyle name="Explanatory Text 3 4 3" xfId="8501" xr:uid="{00000000-0005-0000-0000-000035210000}"/>
    <cellStyle name="Explanatory Text 3 5" xfId="8502" xr:uid="{00000000-0005-0000-0000-000036210000}"/>
    <cellStyle name="Explanatory Text 4" xfId="8503" xr:uid="{00000000-0005-0000-0000-000037210000}"/>
    <cellStyle name="Explanatory Text 4 2" xfId="8504" xr:uid="{00000000-0005-0000-0000-000038210000}"/>
    <cellStyle name="Explanatory Text 4 2 2" xfId="8505" xr:uid="{00000000-0005-0000-0000-000039210000}"/>
    <cellStyle name="Explanatory Text 4 3" xfId="8506" xr:uid="{00000000-0005-0000-0000-00003A210000}"/>
    <cellStyle name="Explanatory Text 4 3 2" xfId="8507" xr:uid="{00000000-0005-0000-0000-00003B210000}"/>
    <cellStyle name="Explanatory Text 4 3 2 2" xfId="8508" xr:uid="{00000000-0005-0000-0000-00003C210000}"/>
    <cellStyle name="Explanatory Text 4 3 3" xfId="8509" xr:uid="{00000000-0005-0000-0000-00003D210000}"/>
    <cellStyle name="Explanatory Text 4 4" xfId="8510" xr:uid="{00000000-0005-0000-0000-00003E210000}"/>
    <cellStyle name="Explanatory Text 5" xfId="8511" xr:uid="{00000000-0005-0000-0000-00003F210000}"/>
    <cellStyle name="Explanatory Text 5 2" xfId="8512" xr:uid="{00000000-0005-0000-0000-000040210000}"/>
    <cellStyle name="Explanatory Text 5 2 2" xfId="8513" xr:uid="{00000000-0005-0000-0000-000041210000}"/>
    <cellStyle name="Explanatory Text 5 3" xfId="8514" xr:uid="{00000000-0005-0000-0000-000042210000}"/>
    <cellStyle name="Explanatory Text 5 3 2" xfId="8515" xr:uid="{00000000-0005-0000-0000-000043210000}"/>
    <cellStyle name="Explanatory Text 5 3 2 2" xfId="8516" xr:uid="{00000000-0005-0000-0000-000044210000}"/>
    <cellStyle name="Explanatory Text 5 3 3" xfId="8517" xr:uid="{00000000-0005-0000-0000-000045210000}"/>
    <cellStyle name="Explanatory Text 5 4" xfId="8518" xr:uid="{00000000-0005-0000-0000-000046210000}"/>
    <cellStyle name="Explanatory Text 6" xfId="8519" xr:uid="{00000000-0005-0000-0000-000047210000}"/>
    <cellStyle name="Explanatory Text 6 2" xfId="8520" xr:uid="{00000000-0005-0000-0000-000048210000}"/>
    <cellStyle name="Explanatory Text 6 2 2" xfId="8521" xr:uid="{00000000-0005-0000-0000-000049210000}"/>
    <cellStyle name="Explanatory Text 6 3" xfId="8522" xr:uid="{00000000-0005-0000-0000-00004A210000}"/>
    <cellStyle name="Explanatory Text 7" xfId="8523" xr:uid="{00000000-0005-0000-0000-00004B210000}"/>
    <cellStyle name="Explanatory Text 8" xfId="8524" xr:uid="{00000000-0005-0000-0000-00004C210000}"/>
    <cellStyle name="Fixed" xfId="8525" xr:uid="{00000000-0005-0000-0000-00004D210000}"/>
    <cellStyle name="Fixed 2" xfId="8526" xr:uid="{00000000-0005-0000-0000-00004E210000}"/>
    <cellStyle name="Fixed 2 2" xfId="8527" xr:uid="{00000000-0005-0000-0000-00004F210000}"/>
    <cellStyle name="Fixed 3" xfId="8528" xr:uid="{00000000-0005-0000-0000-000050210000}"/>
    <cellStyle name="Fixed 3 2" xfId="8529" xr:uid="{00000000-0005-0000-0000-000051210000}"/>
    <cellStyle name="Fixed 4" xfId="8530" xr:uid="{00000000-0005-0000-0000-000052210000}"/>
    <cellStyle name="Fixed 5" xfId="8531" xr:uid="{00000000-0005-0000-0000-000053210000}"/>
    <cellStyle name="Floating" xfId="8532" xr:uid="{00000000-0005-0000-0000-000054210000}"/>
    <cellStyle name="General" xfId="8533" xr:uid="{00000000-0005-0000-0000-000055210000}"/>
    <cellStyle name="General 2" xfId="8534" xr:uid="{00000000-0005-0000-0000-000056210000}"/>
    <cellStyle name="General 2 2" xfId="8535" xr:uid="{00000000-0005-0000-0000-000057210000}"/>
    <cellStyle name="General 2 2 2" xfId="8536" xr:uid="{00000000-0005-0000-0000-000058210000}"/>
    <cellStyle name="General 2 3" xfId="8537" xr:uid="{00000000-0005-0000-0000-000059210000}"/>
    <cellStyle name="General 3" xfId="8538" xr:uid="{00000000-0005-0000-0000-00005A210000}"/>
    <cellStyle name="General 3 2" xfId="8539" xr:uid="{00000000-0005-0000-0000-00005B210000}"/>
    <cellStyle name="General 3 2 2" xfId="8540" xr:uid="{00000000-0005-0000-0000-00005C210000}"/>
    <cellStyle name="General 3 3" xfId="8541" xr:uid="{00000000-0005-0000-0000-00005D210000}"/>
    <cellStyle name="General 3 3 2" xfId="8542" xr:uid="{00000000-0005-0000-0000-00005E210000}"/>
    <cellStyle name="General 3 3 2 2" xfId="8543" xr:uid="{00000000-0005-0000-0000-00005F210000}"/>
    <cellStyle name="General 3 3 3" xfId="8544" xr:uid="{00000000-0005-0000-0000-000060210000}"/>
    <cellStyle name="General 3 4" xfId="8545" xr:uid="{00000000-0005-0000-0000-000061210000}"/>
    <cellStyle name="General 4" xfId="8546" xr:uid="{00000000-0005-0000-0000-000062210000}"/>
    <cellStyle name="General 4 2" xfId="8547" xr:uid="{00000000-0005-0000-0000-000063210000}"/>
    <cellStyle name="General 4 2 2" xfId="8548" xr:uid="{00000000-0005-0000-0000-000064210000}"/>
    <cellStyle name="General 4 3" xfId="8549" xr:uid="{00000000-0005-0000-0000-000065210000}"/>
    <cellStyle name="General 5" xfId="8550" xr:uid="{00000000-0005-0000-0000-000066210000}"/>
    <cellStyle name="General2" xfId="8551" xr:uid="{00000000-0005-0000-0000-000067210000}"/>
    <cellStyle name="Good 2" xfId="8552" xr:uid="{00000000-0005-0000-0000-000068210000}"/>
    <cellStyle name="Good 2 10" xfId="8553" xr:uid="{00000000-0005-0000-0000-000069210000}"/>
    <cellStyle name="Good 2 10 2" xfId="8554" xr:uid="{00000000-0005-0000-0000-00006A210000}"/>
    <cellStyle name="Good 2 11" xfId="8555" xr:uid="{00000000-0005-0000-0000-00006B210000}"/>
    <cellStyle name="Good 2 12" xfId="8556" xr:uid="{00000000-0005-0000-0000-00006C210000}"/>
    <cellStyle name="Good 2 2" xfId="8557" xr:uid="{00000000-0005-0000-0000-00006D210000}"/>
    <cellStyle name="Good 2 2 2" xfId="8558" xr:uid="{00000000-0005-0000-0000-00006E210000}"/>
    <cellStyle name="Good 2 2 2 2" xfId="8559" xr:uid="{00000000-0005-0000-0000-00006F210000}"/>
    <cellStyle name="Good 2 2 3" xfId="8560" xr:uid="{00000000-0005-0000-0000-000070210000}"/>
    <cellStyle name="Good 2 2 3 2" xfId="8561" xr:uid="{00000000-0005-0000-0000-000071210000}"/>
    <cellStyle name="Good 2 2 3 2 2" xfId="8562" xr:uid="{00000000-0005-0000-0000-000072210000}"/>
    <cellStyle name="Good 2 2 3 3" xfId="8563" xr:uid="{00000000-0005-0000-0000-000073210000}"/>
    <cellStyle name="Good 2 2 4" xfId="8564" xr:uid="{00000000-0005-0000-0000-000074210000}"/>
    <cellStyle name="Good 2 2 4 2" xfId="8565" xr:uid="{00000000-0005-0000-0000-000075210000}"/>
    <cellStyle name="Good 2 2 5" xfId="8566" xr:uid="{00000000-0005-0000-0000-000076210000}"/>
    <cellStyle name="Good 2 3" xfId="8567" xr:uid="{00000000-0005-0000-0000-000077210000}"/>
    <cellStyle name="Good 2 3 2" xfId="8568" xr:uid="{00000000-0005-0000-0000-000078210000}"/>
    <cellStyle name="Good 2 3 2 2" xfId="8569" xr:uid="{00000000-0005-0000-0000-000079210000}"/>
    <cellStyle name="Good 2 3 3" xfId="8570" xr:uid="{00000000-0005-0000-0000-00007A210000}"/>
    <cellStyle name="Good 2 3 3 2" xfId="8571" xr:uid="{00000000-0005-0000-0000-00007B210000}"/>
    <cellStyle name="Good 2 3 3 2 2" xfId="8572" xr:uid="{00000000-0005-0000-0000-00007C210000}"/>
    <cellStyle name="Good 2 3 3 3" xfId="8573" xr:uid="{00000000-0005-0000-0000-00007D210000}"/>
    <cellStyle name="Good 2 3 4" xfId="8574" xr:uid="{00000000-0005-0000-0000-00007E210000}"/>
    <cellStyle name="Good 2 4" xfId="8575" xr:uid="{00000000-0005-0000-0000-00007F210000}"/>
    <cellStyle name="Good 2 4 2" xfId="8576" xr:uid="{00000000-0005-0000-0000-000080210000}"/>
    <cellStyle name="Good 2 4 2 2" xfId="8577" xr:uid="{00000000-0005-0000-0000-000081210000}"/>
    <cellStyle name="Good 2 4 3" xfId="8578" xr:uid="{00000000-0005-0000-0000-000082210000}"/>
    <cellStyle name="Good 2 5" xfId="8579" xr:uid="{00000000-0005-0000-0000-000083210000}"/>
    <cellStyle name="Good 2 5 2" xfId="8580" xr:uid="{00000000-0005-0000-0000-000084210000}"/>
    <cellStyle name="Good 2 5 2 2" xfId="8581" xr:uid="{00000000-0005-0000-0000-000085210000}"/>
    <cellStyle name="Good 2 5 3" xfId="8582" xr:uid="{00000000-0005-0000-0000-000086210000}"/>
    <cellStyle name="Good 2 5 3 2" xfId="8583" xr:uid="{00000000-0005-0000-0000-000087210000}"/>
    <cellStyle name="Good 2 5 3 2 2" xfId="8584" xr:uid="{00000000-0005-0000-0000-000088210000}"/>
    <cellStyle name="Good 2 5 3 3" xfId="8585" xr:uid="{00000000-0005-0000-0000-000089210000}"/>
    <cellStyle name="Good 2 5 4" xfId="8586" xr:uid="{00000000-0005-0000-0000-00008A210000}"/>
    <cellStyle name="Good 2 6" xfId="8587" xr:uid="{00000000-0005-0000-0000-00008B210000}"/>
    <cellStyle name="Good 2 6 2" xfId="8588" xr:uid="{00000000-0005-0000-0000-00008C210000}"/>
    <cellStyle name="Good 2 6 2 2" xfId="8589" xr:uid="{00000000-0005-0000-0000-00008D210000}"/>
    <cellStyle name="Good 2 6 3" xfId="8590" xr:uid="{00000000-0005-0000-0000-00008E210000}"/>
    <cellStyle name="Good 2 6 3 2" xfId="8591" xr:uid="{00000000-0005-0000-0000-00008F210000}"/>
    <cellStyle name="Good 2 6 3 2 2" xfId="8592" xr:uid="{00000000-0005-0000-0000-000090210000}"/>
    <cellStyle name="Good 2 6 3 3" xfId="8593" xr:uid="{00000000-0005-0000-0000-000091210000}"/>
    <cellStyle name="Good 2 6 4" xfId="8594" xr:uid="{00000000-0005-0000-0000-000092210000}"/>
    <cellStyle name="Good 2 6 4 2" xfId="8595" xr:uid="{00000000-0005-0000-0000-000093210000}"/>
    <cellStyle name="Good 2 6 5" xfId="8596" xr:uid="{00000000-0005-0000-0000-000094210000}"/>
    <cellStyle name="Good 2 7" xfId="8597" xr:uid="{00000000-0005-0000-0000-000095210000}"/>
    <cellStyle name="Good 2 7 2" xfId="8598" xr:uid="{00000000-0005-0000-0000-000096210000}"/>
    <cellStyle name="Good 2 8" xfId="8599" xr:uid="{00000000-0005-0000-0000-000097210000}"/>
    <cellStyle name="Good 2 8 2" xfId="8600" xr:uid="{00000000-0005-0000-0000-000098210000}"/>
    <cellStyle name="Good 2 8 2 2" xfId="8601" xr:uid="{00000000-0005-0000-0000-000099210000}"/>
    <cellStyle name="Good 2 8 3" xfId="8602" xr:uid="{00000000-0005-0000-0000-00009A210000}"/>
    <cellStyle name="Good 2 9" xfId="8603" xr:uid="{00000000-0005-0000-0000-00009B210000}"/>
    <cellStyle name="Good 2 9 2" xfId="8604" xr:uid="{00000000-0005-0000-0000-00009C210000}"/>
    <cellStyle name="Good 2 9 2 2" xfId="8605" xr:uid="{00000000-0005-0000-0000-00009D210000}"/>
    <cellStyle name="Good 2 9 3" xfId="8606" xr:uid="{00000000-0005-0000-0000-00009E210000}"/>
    <cellStyle name="Good 3" xfId="8607" xr:uid="{00000000-0005-0000-0000-00009F210000}"/>
    <cellStyle name="Good 3 2" xfId="8608" xr:uid="{00000000-0005-0000-0000-0000A0210000}"/>
    <cellStyle name="Good 3 2 2" xfId="8609" xr:uid="{00000000-0005-0000-0000-0000A1210000}"/>
    <cellStyle name="Good 3 3" xfId="8610" xr:uid="{00000000-0005-0000-0000-0000A2210000}"/>
    <cellStyle name="Good 3 3 2" xfId="8611" xr:uid="{00000000-0005-0000-0000-0000A3210000}"/>
    <cellStyle name="Good 3 4" xfId="8612" xr:uid="{00000000-0005-0000-0000-0000A4210000}"/>
    <cellStyle name="Good 3 4 2" xfId="8613" xr:uid="{00000000-0005-0000-0000-0000A5210000}"/>
    <cellStyle name="Good 3 4 2 2" xfId="8614" xr:uid="{00000000-0005-0000-0000-0000A6210000}"/>
    <cellStyle name="Good 3 4 3" xfId="8615" xr:uid="{00000000-0005-0000-0000-0000A7210000}"/>
    <cellStyle name="Good 3 5" xfId="8616" xr:uid="{00000000-0005-0000-0000-0000A8210000}"/>
    <cellStyle name="Good 4" xfId="8617" xr:uid="{00000000-0005-0000-0000-0000A9210000}"/>
    <cellStyle name="Good 4 2" xfId="8618" xr:uid="{00000000-0005-0000-0000-0000AA210000}"/>
    <cellStyle name="Good 4 2 2" xfId="8619" xr:uid="{00000000-0005-0000-0000-0000AB210000}"/>
    <cellStyle name="Good 4 3" xfId="8620" xr:uid="{00000000-0005-0000-0000-0000AC210000}"/>
    <cellStyle name="Good 4 3 2" xfId="8621" xr:uid="{00000000-0005-0000-0000-0000AD210000}"/>
    <cellStyle name="Good 4 3 2 2" xfId="8622" xr:uid="{00000000-0005-0000-0000-0000AE210000}"/>
    <cellStyle name="Good 4 3 3" xfId="8623" xr:uid="{00000000-0005-0000-0000-0000AF210000}"/>
    <cellStyle name="Good 4 4" xfId="8624" xr:uid="{00000000-0005-0000-0000-0000B0210000}"/>
    <cellStyle name="Good 5" xfId="8625" xr:uid="{00000000-0005-0000-0000-0000B1210000}"/>
    <cellStyle name="Good 5 2" xfId="8626" xr:uid="{00000000-0005-0000-0000-0000B2210000}"/>
    <cellStyle name="Good 5 2 2" xfId="8627" xr:uid="{00000000-0005-0000-0000-0000B3210000}"/>
    <cellStyle name="Good 5 3" xfId="8628" xr:uid="{00000000-0005-0000-0000-0000B4210000}"/>
    <cellStyle name="Good 5 3 2" xfId="8629" xr:uid="{00000000-0005-0000-0000-0000B5210000}"/>
    <cellStyle name="Good 5 3 2 2" xfId="8630" xr:uid="{00000000-0005-0000-0000-0000B6210000}"/>
    <cellStyle name="Good 5 3 3" xfId="8631" xr:uid="{00000000-0005-0000-0000-0000B7210000}"/>
    <cellStyle name="Good 5 4" xfId="8632" xr:uid="{00000000-0005-0000-0000-0000B8210000}"/>
    <cellStyle name="Good 6" xfId="8633" xr:uid="{00000000-0005-0000-0000-0000B9210000}"/>
    <cellStyle name="Good 6 2" xfId="8634" xr:uid="{00000000-0005-0000-0000-0000BA210000}"/>
    <cellStyle name="Good 6 2 2" xfId="8635" xr:uid="{00000000-0005-0000-0000-0000BB210000}"/>
    <cellStyle name="Good 6 3" xfId="8636" xr:uid="{00000000-0005-0000-0000-0000BC210000}"/>
    <cellStyle name="Good 7" xfId="8637" xr:uid="{00000000-0005-0000-0000-0000BD210000}"/>
    <cellStyle name="Good 7 2" xfId="8638" xr:uid="{00000000-0005-0000-0000-0000BE210000}"/>
    <cellStyle name="Good 8" xfId="8639" xr:uid="{00000000-0005-0000-0000-0000BF210000}"/>
    <cellStyle name="Good 9" xfId="8640" xr:uid="{00000000-0005-0000-0000-0000C0210000}"/>
    <cellStyle name="Grey" xfId="8641" xr:uid="{00000000-0005-0000-0000-0000C1210000}"/>
    <cellStyle name="Grey 2" xfId="8642" xr:uid="{00000000-0005-0000-0000-0000C2210000}"/>
    <cellStyle name="HEADER" xfId="8643" xr:uid="{00000000-0005-0000-0000-0000C3210000}"/>
    <cellStyle name="HEADER 2" xfId="8644" xr:uid="{00000000-0005-0000-0000-0000C4210000}"/>
    <cellStyle name="HEADER 2 2" xfId="8645" xr:uid="{00000000-0005-0000-0000-0000C5210000}"/>
    <cellStyle name="HEADER 2 2 2" xfId="8646" xr:uid="{00000000-0005-0000-0000-0000C6210000}"/>
    <cellStyle name="HEADER 2 2 2 2" xfId="8647" xr:uid="{00000000-0005-0000-0000-0000C7210000}"/>
    <cellStyle name="HEADER 2 2 3" xfId="8648" xr:uid="{00000000-0005-0000-0000-0000C8210000}"/>
    <cellStyle name="HEADER 2 2 3 2" xfId="8649" xr:uid="{00000000-0005-0000-0000-0000C9210000}"/>
    <cellStyle name="HEADER 2 2 3 2 2" xfId="8650" xr:uid="{00000000-0005-0000-0000-0000CA210000}"/>
    <cellStyle name="HEADER 2 2 3 3" xfId="8651" xr:uid="{00000000-0005-0000-0000-0000CB210000}"/>
    <cellStyle name="HEADER 2 2 4" xfId="8652" xr:uid="{00000000-0005-0000-0000-0000CC210000}"/>
    <cellStyle name="HEADER 2 3" xfId="8653" xr:uid="{00000000-0005-0000-0000-0000CD210000}"/>
    <cellStyle name="HEADER 2 3 2" xfId="8654" xr:uid="{00000000-0005-0000-0000-0000CE210000}"/>
    <cellStyle name="HEADER 2 4" xfId="8655" xr:uid="{00000000-0005-0000-0000-0000CF210000}"/>
    <cellStyle name="HEADER 3" xfId="8656" xr:uid="{00000000-0005-0000-0000-0000D0210000}"/>
    <cellStyle name="HEADER 3 2" xfId="8657" xr:uid="{00000000-0005-0000-0000-0000D1210000}"/>
    <cellStyle name="HEADER 4" xfId="8658" xr:uid="{00000000-0005-0000-0000-0000D2210000}"/>
    <cellStyle name="HEADER 4 2" xfId="8659" xr:uid="{00000000-0005-0000-0000-0000D3210000}"/>
    <cellStyle name="HEADER 5" xfId="8660" xr:uid="{00000000-0005-0000-0000-0000D4210000}"/>
    <cellStyle name="Header1" xfId="8661" xr:uid="{00000000-0005-0000-0000-0000D5210000}"/>
    <cellStyle name="Header1 2" xfId="8662" xr:uid="{00000000-0005-0000-0000-0000D6210000}"/>
    <cellStyle name="Header1 2 2" xfId="8663" xr:uid="{00000000-0005-0000-0000-0000D7210000}"/>
    <cellStyle name="Header1 2 2 2" xfId="8664" xr:uid="{00000000-0005-0000-0000-0000D8210000}"/>
    <cellStyle name="Header1 2 3" xfId="8665" xr:uid="{00000000-0005-0000-0000-0000D9210000}"/>
    <cellStyle name="Header1 2 3 2" xfId="8666" xr:uid="{00000000-0005-0000-0000-0000DA210000}"/>
    <cellStyle name="Header1 2 3 2 2" xfId="8667" xr:uid="{00000000-0005-0000-0000-0000DB210000}"/>
    <cellStyle name="Header1 2 3 3" xfId="8668" xr:uid="{00000000-0005-0000-0000-0000DC210000}"/>
    <cellStyle name="Header1 2 4" xfId="8669" xr:uid="{00000000-0005-0000-0000-0000DD210000}"/>
    <cellStyle name="Header1 3" xfId="8670" xr:uid="{00000000-0005-0000-0000-0000DE210000}"/>
    <cellStyle name="Header1 3 2" xfId="8671" xr:uid="{00000000-0005-0000-0000-0000DF210000}"/>
    <cellStyle name="Header1 3 2 2" xfId="8672" xr:uid="{00000000-0005-0000-0000-0000E0210000}"/>
    <cellStyle name="Header1 3 3" xfId="8673" xr:uid="{00000000-0005-0000-0000-0000E1210000}"/>
    <cellStyle name="Header1 4" xfId="8674" xr:uid="{00000000-0005-0000-0000-0000E2210000}"/>
    <cellStyle name="Header1 4 2" xfId="8675" xr:uid="{00000000-0005-0000-0000-0000E3210000}"/>
    <cellStyle name="Header1 5" xfId="8676" xr:uid="{00000000-0005-0000-0000-0000E4210000}"/>
    <cellStyle name="Header1 5 2" xfId="8677" xr:uid="{00000000-0005-0000-0000-0000E5210000}"/>
    <cellStyle name="Header1 6" xfId="8678" xr:uid="{00000000-0005-0000-0000-0000E6210000}"/>
    <cellStyle name="Header2" xfId="8679" xr:uid="{00000000-0005-0000-0000-0000E7210000}"/>
    <cellStyle name="Header2 2" xfId="8680" xr:uid="{00000000-0005-0000-0000-0000E8210000}"/>
    <cellStyle name="Header2 2 2" xfId="8681" xr:uid="{00000000-0005-0000-0000-0000E9210000}"/>
    <cellStyle name="Header2 2 2 2" xfId="8682" xr:uid="{00000000-0005-0000-0000-0000EA210000}"/>
    <cellStyle name="Header2 2 2 2 2" xfId="8683" xr:uid="{00000000-0005-0000-0000-0000EB210000}"/>
    <cellStyle name="Header2 2 2 2 2 2" xfId="8684" xr:uid="{00000000-0005-0000-0000-0000EC210000}"/>
    <cellStyle name="Header2 2 2 2 2 2 2" xfId="8685" xr:uid="{00000000-0005-0000-0000-0000ED210000}"/>
    <cellStyle name="Header2 2 2 2 2 2 2 2" xfId="8686" xr:uid="{00000000-0005-0000-0000-0000EE210000}"/>
    <cellStyle name="Header2 2 2 2 2 2 2 3" xfId="8687" xr:uid="{00000000-0005-0000-0000-0000EF210000}"/>
    <cellStyle name="Header2 2 2 2 2 2 3" xfId="8688" xr:uid="{00000000-0005-0000-0000-0000F0210000}"/>
    <cellStyle name="Header2 2 2 2 2 3" xfId="8689" xr:uid="{00000000-0005-0000-0000-0000F1210000}"/>
    <cellStyle name="Header2 2 2 2 3" xfId="8690" xr:uid="{00000000-0005-0000-0000-0000F2210000}"/>
    <cellStyle name="Header2 2 2 2 3 2" xfId="8691" xr:uid="{00000000-0005-0000-0000-0000F3210000}"/>
    <cellStyle name="Header2 2 2 2 3 2 2" xfId="8692" xr:uid="{00000000-0005-0000-0000-0000F4210000}"/>
    <cellStyle name="Header2 2 2 2 3 2 2 2" xfId="8693" xr:uid="{00000000-0005-0000-0000-0000F5210000}"/>
    <cellStyle name="Header2 2 2 2 3 2 2 3" xfId="8694" xr:uid="{00000000-0005-0000-0000-0000F6210000}"/>
    <cellStyle name="Header2 2 2 2 3 2 3" xfId="8695" xr:uid="{00000000-0005-0000-0000-0000F7210000}"/>
    <cellStyle name="Header2 2 2 2 3 3" xfId="8696" xr:uid="{00000000-0005-0000-0000-0000F8210000}"/>
    <cellStyle name="Header2 2 2 2 3 3 2" xfId="8697" xr:uid="{00000000-0005-0000-0000-0000F9210000}"/>
    <cellStyle name="Header2 2 2 2 3 3 3" xfId="8698" xr:uid="{00000000-0005-0000-0000-0000FA210000}"/>
    <cellStyle name="Header2 2 2 2 3 4" xfId="8699" xr:uid="{00000000-0005-0000-0000-0000FB210000}"/>
    <cellStyle name="Header2 2 2 2 4" xfId="8700" xr:uid="{00000000-0005-0000-0000-0000FC210000}"/>
    <cellStyle name="Header2 2 2 2 4 2" xfId="8701" xr:uid="{00000000-0005-0000-0000-0000FD210000}"/>
    <cellStyle name="Header2 2 2 2 4 2 2" xfId="8702" xr:uid="{00000000-0005-0000-0000-0000FE210000}"/>
    <cellStyle name="Header2 2 2 2 4 2 3" xfId="8703" xr:uid="{00000000-0005-0000-0000-0000FF210000}"/>
    <cellStyle name="Header2 2 2 2 4 3" xfId="8704" xr:uid="{00000000-0005-0000-0000-000000220000}"/>
    <cellStyle name="Header2 2 2 2 5" xfId="8705" xr:uid="{00000000-0005-0000-0000-000001220000}"/>
    <cellStyle name="Header2 2 2 2 5 2" xfId="8706" xr:uid="{00000000-0005-0000-0000-000002220000}"/>
    <cellStyle name="Header2 2 2 2 5 3" xfId="8707" xr:uid="{00000000-0005-0000-0000-000003220000}"/>
    <cellStyle name="Header2 2 2 2 6" xfId="8708" xr:uid="{00000000-0005-0000-0000-000004220000}"/>
    <cellStyle name="Header2 2 2 3" xfId="8709" xr:uid="{00000000-0005-0000-0000-000005220000}"/>
    <cellStyle name="Header2 2 3" xfId="8710" xr:uid="{00000000-0005-0000-0000-000006220000}"/>
    <cellStyle name="Header2 2 3 2" xfId="8711" xr:uid="{00000000-0005-0000-0000-000007220000}"/>
    <cellStyle name="Header2 2 3 2 2" xfId="8712" xr:uid="{00000000-0005-0000-0000-000008220000}"/>
    <cellStyle name="Header2 2 3 2 2 2" xfId="8713" xr:uid="{00000000-0005-0000-0000-000009220000}"/>
    <cellStyle name="Header2 2 3 2 2 2 2" xfId="8714" xr:uid="{00000000-0005-0000-0000-00000A220000}"/>
    <cellStyle name="Header2 2 3 2 2 2 2 2" xfId="8715" xr:uid="{00000000-0005-0000-0000-00000B220000}"/>
    <cellStyle name="Header2 2 3 2 2 2 2 2 2" xfId="8716" xr:uid="{00000000-0005-0000-0000-00000C220000}"/>
    <cellStyle name="Header2 2 3 2 2 2 2 2 3" xfId="8717" xr:uid="{00000000-0005-0000-0000-00000D220000}"/>
    <cellStyle name="Header2 2 3 2 2 2 2 3" xfId="8718" xr:uid="{00000000-0005-0000-0000-00000E220000}"/>
    <cellStyle name="Header2 2 3 2 2 2 3" xfId="8719" xr:uid="{00000000-0005-0000-0000-00000F220000}"/>
    <cellStyle name="Header2 2 3 2 2 3" xfId="8720" xr:uid="{00000000-0005-0000-0000-000010220000}"/>
    <cellStyle name="Header2 2 3 2 2 3 2" xfId="8721" xr:uid="{00000000-0005-0000-0000-000011220000}"/>
    <cellStyle name="Header2 2 3 2 2 3 2 2" xfId="8722" xr:uid="{00000000-0005-0000-0000-000012220000}"/>
    <cellStyle name="Header2 2 3 2 2 3 2 2 2" xfId="8723" xr:uid="{00000000-0005-0000-0000-000013220000}"/>
    <cellStyle name="Header2 2 3 2 2 3 2 2 3" xfId="8724" xr:uid="{00000000-0005-0000-0000-000014220000}"/>
    <cellStyle name="Header2 2 3 2 2 3 2 3" xfId="8725" xr:uid="{00000000-0005-0000-0000-000015220000}"/>
    <cellStyle name="Header2 2 3 2 2 3 3" xfId="8726" xr:uid="{00000000-0005-0000-0000-000016220000}"/>
    <cellStyle name="Header2 2 3 2 2 3 3 2" xfId="8727" xr:uid="{00000000-0005-0000-0000-000017220000}"/>
    <cellStyle name="Header2 2 3 2 2 3 3 3" xfId="8728" xr:uid="{00000000-0005-0000-0000-000018220000}"/>
    <cellStyle name="Header2 2 3 2 2 3 4" xfId="8729" xr:uid="{00000000-0005-0000-0000-000019220000}"/>
    <cellStyle name="Header2 2 3 2 2 4" xfId="8730" xr:uid="{00000000-0005-0000-0000-00001A220000}"/>
    <cellStyle name="Header2 2 3 2 2 4 2" xfId="8731" xr:uid="{00000000-0005-0000-0000-00001B220000}"/>
    <cellStyle name="Header2 2 3 2 2 4 2 2" xfId="8732" xr:uid="{00000000-0005-0000-0000-00001C220000}"/>
    <cellStyle name="Header2 2 3 2 2 4 2 3" xfId="8733" xr:uid="{00000000-0005-0000-0000-00001D220000}"/>
    <cellStyle name="Header2 2 3 2 2 4 3" xfId="8734" xr:uid="{00000000-0005-0000-0000-00001E220000}"/>
    <cellStyle name="Header2 2 3 2 2 5" xfId="8735" xr:uid="{00000000-0005-0000-0000-00001F220000}"/>
    <cellStyle name="Header2 2 3 2 2 5 2" xfId="8736" xr:uid="{00000000-0005-0000-0000-000020220000}"/>
    <cellStyle name="Header2 2 3 2 2 5 3" xfId="8737" xr:uid="{00000000-0005-0000-0000-000021220000}"/>
    <cellStyle name="Header2 2 3 2 2 6" xfId="8738" xr:uid="{00000000-0005-0000-0000-000022220000}"/>
    <cellStyle name="Header2 2 3 2 3" xfId="8739" xr:uid="{00000000-0005-0000-0000-000023220000}"/>
    <cellStyle name="Header2 2 3 3" xfId="8740" xr:uid="{00000000-0005-0000-0000-000024220000}"/>
    <cellStyle name="Header2 2 3 3 2" xfId="8741" xr:uid="{00000000-0005-0000-0000-000025220000}"/>
    <cellStyle name="Header2 2 3 3 2 2" xfId="8742" xr:uid="{00000000-0005-0000-0000-000026220000}"/>
    <cellStyle name="Header2 2 3 3 2 2 2" xfId="8743" xr:uid="{00000000-0005-0000-0000-000027220000}"/>
    <cellStyle name="Header2 2 3 3 2 2 2 2" xfId="8744" xr:uid="{00000000-0005-0000-0000-000028220000}"/>
    <cellStyle name="Header2 2 3 3 2 2 2 3" xfId="8745" xr:uid="{00000000-0005-0000-0000-000029220000}"/>
    <cellStyle name="Header2 2 3 3 2 2 3" xfId="8746" xr:uid="{00000000-0005-0000-0000-00002A220000}"/>
    <cellStyle name="Header2 2 3 3 2 3" xfId="8747" xr:uid="{00000000-0005-0000-0000-00002B220000}"/>
    <cellStyle name="Header2 2 3 3 3" xfId="8748" xr:uid="{00000000-0005-0000-0000-00002C220000}"/>
    <cellStyle name="Header2 2 3 3 3 2" xfId="8749" xr:uid="{00000000-0005-0000-0000-00002D220000}"/>
    <cellStyle name="Header2 2 3 3 3 2 2" xfId="8750" xr:uid="{00000000-0005-0000-0000-00002E220000}"/>
    <cellStyle name="Header2 2 3 3 3 2 2 2" xfId="8751" xr:uid="{00000000-0005-0000-0000-00002F220000}"/>
    <cellStyle name="Header2 2 3 3 3 2 2 3" xfId="8752" xr:uid="{00000000-0005-0000-0000-000030220000}"/>
    <cellStyle name="Header2 2 3 3 3 2 3" xfId="8753" xr:uid="{00000000-0005-0000-0000-000031220000}"/>
    <cellStyle name="Header2 2 3 3 3 3" xfId="8754" xr:uid="{00000000-0005-0000-0000-000032220000}"/>
    <cellStyle name="Header2 2 3 3 3 3 2" xfId="8755" xr:uid="{00000000-0005-0000-0000-000033220000}"/>
    <cellStyle name="Header2 2 3 3 3 3 3" xfId="8756" xr:uid="{00000000-0005-0000-0000-000034220000}"/>
    <cellStyle name="Header2 2 3 3 3 4" xfId="8757" xr:uid="{00000000-0005-0000-0000-000035220000}"/>
    <cellStyle name="Header2 2 3 3 4" xfId="8758" xr:uid="{00000000-0005-0000-0000-000036220000}"/>
    <cellStyle name="Header2 2 3 3 4 2" xfId="8759" xr:uid="{00000000-0005-0000-0000-000037220000}"/>
    <cellStyle name="Header2 2 3 3 4 2 2" xfId="8760" xr:uid="{00000000-0005-0000-0000-000038220000}"/>
    <cellStyle name="Header2 2 3 3 4 2 3" xfId="8761" xr:uid="{00000000-0005-0000-0000-000039220000}"/>
    <cellStyle name="Header2 2 3 3 4 3" xfId="8762" xr:uid="{00000000-0005-0000-0000-00003A220000}"/>
    <cellStyle name="Header2 2 3 3 5" xfId="8763" xr:uid="{00000000-0005-0000-0000-00003B220000}"/>
    <cellStyle name="Header2 2 3 3 5 2" xfId="8764" xr:uid="{00000000-0005-0000-0000-00003C220000}"/>
    <cellStyle name="Header2 2 3 3 5 3" xfId="8765" xr:uid="{00000000-0005-0000-0000-00003D220000}"/>
    <cellStyle name="Header2 2 3 3 6" xfId="8766" xr:uid="{00000000-0005-0000-0000-00003E220000}"/>
    <cellStyle name="Header2 2 3 4" xfId="8767" xr:uid="{00000000-0005-0000-0000-00003F220000}"/>
    <cellStyle name="Header2 2 4" xfId="8768" xr:uid="{00000000-0005-0000-0000-000040220000}"/>
    <cellStyle name="Header2 2 4 2" xfId="8769" xr:uid="{00000000-0005-0000-0000-000041220000}"/>
    <cellStyle name="Header2 2 4 2 2" xfId="8770" xr:uid="{00000000-0005-0000-0000-000042220000}"/>
    <cellStyle name="Header2 2 4 2 2 2" xfId="8771" xr:uid="{00000000-0005-0000-0000-000043220000}"/>
    <cellStyle name="Header2 2 4 2 2 2 2" xfId="8772" xr:uid="{00000000-0005-0000-0000-000044220000}"/>
    <cellStyle name="Header2 2 4 2 2 2 3" xfId="8773" xr:uid="{00000000-0005-0000-0000-000045220000}"/>
    <cellStyle name="Header2 2 4 2 2 3" xfId="8774" xr:uid="{00000000-0005-0000-0000-000046220000}"/>
    <cellStyle name="Header2 2 4 2 3" xfId="8775" xr:uid="{00000000-0005-0000-0000-000047220000}"/>
    <cellStyle name="Header2 2 4 3" xfId="8776" xr:uid="{00000000-0005-0000-0000-000048220000}"/>
    <cellStyle name="Header2 2 4 3 2" xfId="8777" xr:uid="{00000000-0005-0000-0000-000049220000}"/>
    <cellStyle name="Header2 2 4 3 2 2" xfId="8778" xr:uid="{00000000-0005-0000-0000-00004A220000}"/>
    <cellStyle name="Header2 2 4 3 2 2 2" xfId="8779" xr:uid="{00000000-0005-0000-0000-00004B220000}"/>
    <cellStyle name="Header2 2 4 3 2 2 3" xfId="8780" xr:uid="{00000000-0005-0000-0000-00004C220000}"/>
    <cellStyle name="Header2 2 4 3 2 3" xfId="8781" xr:uid="{00000000-0005-0000-0000-00004D220000}"/>
    <cellStyle name="Header2 2 4 3 3" xfId="8782" xr:uid="{00000000-0005-0000-0000-00004E220000}"/>
    <cellStyle name="Header2 2 4 3 3 2" xfId="8783" xr:uid="{00000000-0005-0000-0000-00004F220000}"/>
    <cellStyle name="Header2 2 4 3 3 3" xfId="8784" xr:uid="{00000000-0005-0000-0000-000050220000}"/>
    <cellStyle name="Header2 2 4 3 4" xfId="8785" xr:uid="{00000000-0005-0000-0000-000051220000}"/>
    <cellStyle name="Header2 2 4 4" xfId="8786" xr:uid="{00000000-0005-0000-0000-000052220000}"/>
    <cellStyle name="Header2 2 4 4 2" xfId="8787" xr:uid="{00000000-0005-0000-0000-000053220000}"/>
    <cellStyle name="Header2 2 4 4 2 2" xfId="8788" xr:uid="{00000000-0005-0000-0000-000054220000}"/>
    <cellStyle name="Header2 2 4 4 2 3" xfId="8789" xr:uid="{00000000-0005-0000-0000-000055220000}"/>
    <cellStyle name="Header2 2 4 4 3" xfId="8790" xr:uid="{00000000-0005-0000-0000-000056220000}"/>
    <cellStyle name="Header2 2 4 5" xfId="8791" xr:uid="{00000000-0005-0000-0000-000057220000}"/>
    <cellStyle name="Header2 2 4 5 2" xfId="8792" xr:uid="{00000000-0005-0000-0000-000058220000}"/>
    <cellStyle name="Header2 2 4 5 3" xfId="8793" xr:uid="{00000000-0005-0000-0000-000059220000}"/>
    <cellStyle name="Header2 2 4 6" xfId="8794" xr:uid="{00000000-0005-0000-0000-00005A220000}"/>
    <cellStyle name="Header2 2 5" xfId="8795" xr:uid="{00000000-0005-0000-0000-00005B220000}"/>
    <cellStyle name="Header2 3" xfId="8796" xr:uid="{00000000-0005-0000-0000-00005C220000}"/>
    <cellStyle name="Header2 3 2" xfId="8797" xr:uid="{00000000-0005-0000-0000-00005D220000}"/>
    <cellStyle name="Header2 3 2 2" xfId="8798" xr:uid="{00000000-0005-0000-0000-00005E220000}"/>
    <cellStyle name="Header2 3 2 2 2" xfId="8799" xr:uid="{00000000-0005-0000-0000-00005F220000}"/>
    <cellStyle name="Header2 3 2 2 2 2" xfId="8800" xr:uid="{00000000-0005-0000-0000-000060220000}"/>
    <cellStyle name="Header2 3 2 2 2 2 2" xfId="8801" xr:uid="{00000000-0005-0000-0000-000061220000}"/>
    <cellStyle name="Header2 3 2 2 2 2 2 2" xfId="8802" xr:uid="{00000000-0005-0000-0000-000062220000}"/>
    <cellStyle name="Header2 3 2 2 2 2 2 3" xfId="8803" xr:uid="{00000000-0005-0000-0000-000063220000}"/>
    <cellStyle name="Header2 3 2 2 2 2 3" xfId="8804" xr:uid="{00000000-0005-0000-0000-000064220000}"/>
    <cellStyle name="Header2 3 2 2 2 3" xfId="8805" xr:uid="{00000000-0005-0000-0000-000065220000}"/>
    <cellStyle name="Header2 3 2 2 3" xfId="8806" xr:uid="{00000000-0005-0000-0000-000066220000}"/>
    <cellStyle name="Header2 3 2 2 3 2" xfId="8807" xr:uid="{00000000-0005-0000-0000-000067220000}"/>
    <cellStyle name="Header2 3 2 2 3 2 2" xfId="8808" xr:uid="{00000000-0005-0000-0000-000068220000}"/>
    <cellStyle name="Header2 3 2 2 3 2 2 2" xfId="8809" xr:uid="{00000000-0005-0000-0000-000069220000}"/>
    <cellStyle name="Header2 3 2 2 3 2 2 3" xfId="8810" xr:uid="{00000000-0005-0000-0000-00006A220000}"/>
    <cellStyle name="Header2 3 2 2 3 2 3" xfId="8811" xr:uid="{00000000-0005-0000-0000-00006B220000}"/>
    <cellStyle name="Header2 3 2 2 3 3" xfId="8812" xr:uid="{00000000-0005-0000-0000-00006C220000}"/>
    <cellStyle name="Header2 3 2 2 3 3 2" xfId="8813" xr:uid="{00000000-0005-0000-0000-00006D220000}"/>
    <cellStyle name="Header2 3 2 2 3 3 3" xfId="8814" xr:uid="{00000000-0005-0000-0000-00006E220000}"/>
    <cellStyle name="Header2 3 2 2 3 4" xfId="8815" xr:uid="{00000000-0005-0000-0000-00006F220000}"/>
    <cellStyle name="Header2 3 2 2 4" xfId="8816" xr:uid="{00000000-0005-0000-0000-000070220000}"/>
    <cellStyle name="Header2 3 2 2 4 2" xfId="8817" xr:uid="{00000000-0005-0000-0000-000071220000}"/>
    <cellStyle name="Header2 3 2 2 4 2 2" xfId="8818" xr:uid="{00000000-0005-0000-0000-000072220000}"/>
    <cellStyle name="Header2 3 2 2 4 2 3" xfId="8819" xr:uid="{00000000-0005-0000-0000-000073220000}"/>
    <cellStyle name="Header2 3 2 2 4 3" xfId="8820" xr:uid="{00000000-0005-0000-0000-000074220000}"/>
    <cellStyle name="Header2 3 2 2 5" xfId="8821" xr:uid="{00000000-0005-0000-0000-000075220000}"/>
    <cellStyle name="Header2 3 2 2 5 2" xfId="8822" xr:uid="{00000000-0005-0000-0000-000076220000}"/>
    <cellStyle name="Header2 3 2 2 5 3" xfId="8823" xr:uid="{00000000-0005-0000-0000-000077220000}"/>
    <cellStyle name="Header2 3 2 2 6" xfId="8824" xr:uid="{00000000-0005-0000-0000-000078220000}"/>
    <cellStyle name="Header2 3 2 3" xfId="8825" xr:uid="{00000000-0005-0000-0000-000079220000}"/>
    <cellStyle name="Header2 3 3" xfId="8826" xr:uid="{00000000-0005-0000-0000-00007A220000}"/>
    <cellStyle name="Header2 3 3 2" xfId="8827" xr:uid="{00000000-0005-0000-0000-00007B220000}"/>
    <cellStyle name="Header2 3 3 2 2" xfId="8828" xr:uid="{00000000-0005-0000-0000-00007C220000}"/>
    <cellStyle name="Header2 3 3 2 2 2" xfId="8829" xr:uid="{00000000-0005-0000-0000-00007D220000}"/>
    <cellStyle name="Header2 3 3 2 2 2 2" xfId="8830" xr:uid="{00000000-0005-0000-0000-00007E220000}"/>
    <cellStyle name="Header2 3 3 2 2 2 3" xfId="8831" xr:uid="{00000000-0005-0000-0000-00007F220000}"/>
    <cellStyle name="Header2 3 3 2 2 3" xfId="8832" xr:uid="{00000000-0005-0000-0000-000080220000}"/>
    <cellStyle name="Header2 3 3 2 3" xfId="8833" xr:uid="{00000000-0005-0000-0000-000081220000}"/>
    <cellStyle name="Header2 3 3 3" xfId="8834" xr:uid="{00000000-0005-0000-0000-000082220000}"/>
    <cellStyle name="Header2 3 3 3 2" xfId="8835" xr:uid="{00000000-0005-0000-0000-000083220000}"/>
    <cellStyle name="Header2 3 3 3 2 2" xfId="8836" xr:uid="{00000000-0005-0000-0000-000084220000}"/>
    <cellStyle name="Header2 3 3 3 2 2 2" xfId="8837" xr:uid="{00000000-0005-0000-0000-000085220000}"/>
    <cellStyle name="Header2 3 3 3 2 2 3" xfId="8838" xr:uid="{00000000-0005-0000-0000-000086220000}"/>
    <cellStyle name="Header2 3 3 3 2 3" xfId="8839" xr:uid="{00000000-0005-0000-0000-000087220000}"/>
    <cellStyle name="Header2 3 3 3 3" xfId="8840" xr:uid="{00000000-0005-0000-0000-000088220000}"/>
    <cellStyle name="Header2 3 3 3 3 2" xfId="8841" xr:uid="{00000000-0005-0000-0000-000089220000}"/>
    <cellStyle name="Header2 3 3 3 3 3" xfId="8842" xr:uid="{00000000-0005-0000-0000-00008A220000}"/>
    <cellStyle name="Header2 3 3 3 4" xfId="8843" xr:uid="{00000000-0005-0000-0000-00008B220000}"/>
    <cellStyle name="Header2 3 3 4" xfId="8844" xr:uid="{00000000-0005-0000-0000-00008C220000}"/>
    <cellStyle name="Header2 3 3 4 2" xfId="8845" xr:uid="{00000000-0005-0000-0000-00008D220000}"/>
    <cellStyle name="Header2 3 3 4 2 2" xfId="8846" xr:uid="{00000000-0005-0000-0000-00008E220000}"/>
    <cellStyle name="Header2 3 3 4 2 3" xfId="8847" xr:uid="{00000000-0005-0000-0000-00008F220000}"/>
    <cellStyle name="Header2 3 3 4 3" xfId="8848" xr:uid="{00000000-0005-0000-0000-000090220000}"/>
    <cellStyle name="Header2 3 3 5" xfId="8849" xr:uid="{00000000-0005-0000-0000-000091220000}"/>
    <cellStyle name="Header2 3 3 5 2" xfId="8850" xr:uid="{00000000-0005-0000-0000-000092220000}"/>
    <cellStyle name="Header2 3 3 5 3" xfId="8851" xr:uid="{00000000-0005-0000-0000-000093220000}"/>
    <cellStyle name="Header2 3 3 6" xfId="8852" xr:uid="{00000000-0005-0000-0000-000094220000}"/>
    <cellStyle name="Header2 3 4" xfId="8853" xr:uid="{00000000-0005-0000-0000-000095220000}"/>
    <cellStyle name="Header2 4" xfId="8854" xr:uid="{00000000-0005-0000-0000-000096220000}"/>
    <cellStyle name="Header2 4 2" xfId="8855" xr:uid="{00000000-0005-0000-0000-000097220000}"/>
    <cellStyle name="Header2 4 2 2" xfId="8856" xr:uid="{00000000-0005-0000-0000-000098220000}"/>
    <cellStyle name="Header2 4 2 2 2" xfId="8857" xr:uid="{00000000-0005-0000-0000-000099220000}"/>
    <cellStyle name="Header2 4 2 2 2 2" xfId="8858" xr:uid="{00000000-0005-0000-0000-00009A220000}"/>
    <cellStyle name="Header2 4 2 2 2 2 2" xfId="8859" xr:uid="{00000000-0005-0000-0000-00009B220000}"/>
    <cellStyle name="Header2 4 2 2 2 2 3" xfId="8860" xr:uid="{00000000-0005-0000-0000-00009C220000}"/>
    <cellStyle name="Header2 4 2 2 2 3" xfId="8861" xr:uid="{00000000-0005-0000-0000-00009D220000}"/>
    <cellStyle name="Header2 4 2 2 3" xfId="8862" xr:uid="{00000000-0005-0000-0000-00009E220000}"/>
    <cellStyle name="Header2 4 2 3" xfId="8863" xr:uid="{00000000-0005-0000-0000-00009F220000}"/>
    <cellStyle name="Header2 4 2 3 2" xfId="8864" xr:uid="{00000000-0005-0000-0000-0000A0220000}"/>
    <cellStyle name="Header2 4 2 3 2 2" xfId="8865" xr:uid="{00000000-0005-0000-0000-0000A1220000}"/>
    <cellStyle name="Header2 4 2 3 2 2 2" xfId="8866" xr:uid="{00000000-0005-0000-0000-0000A2220000}"/>
    <cellStyle name="Header2 4 2 3 2 2 3" xfId="8867" xr:uid="{00000000-0005-0000-0000-0000A3220000}"/>
    <cellStyle name="Header2 4 2 3 2 3" xfId="8868" xr:uid="{00000000-0005-0000-0000-0000A4220000}"/>
    <cellStyle name="Header2 4 2 3 3" xfId="8869" xr:uid="{00000000-0005-0000-0000-0000A5220000}"/>
    <cellStyle name="Header2 4 2 3 3 2" xfId="8870" xr:uid="{00000000-0005-0000-0000-0000A6220000}"/>
    <cellStyle name="Header2 4 2 3 3 3" xfId="8871" xr:uid="{00000000-0005-0000-0000-0000A7220000}"/>
    <cellStyle name="Header2 4 2 3 4" xfId="8872" xr:uid="{00000000-0005-0000-0000-0000A8220000}"/>
    <cellStyle name="Header2 4 2 4" xfId="8873" xr:uid="{00000000-0005-0000-0000-0000A9220000}"/>
    <cellStyle name="Header2 4 2 4 2" xfId="8874" xr:uid="{00000000-0005-0000-0000-0000AA220000}"/>
    <cellStyle name="Header2 4 2 4 2 2" xfId="8875" xr:uid="{00000000-0005-0000-0000-0000AB220000}"/>
    <cellStyle name="Header2 4 2 4 2 3" xfId="8876" xr:uid="{00000000-0005-0000-0000-0000AC220000}"/>
    <cellStyle name="Header2 4 2 4 3" xfId="8877" xr:uid="{00000000-0005-0000-0000-0000AD220000}"/>
    <cellStyle name="Header2 4 2 5" xfId="8878" xr:uid="{00000000-0005-0000-0000-0000AE220000}"/>
    <cellStyle name="Header2 4 2 5 2" xfId="8879" xr:uid="{00000000-0005-0000-0000-0000AF220000}"/>
    <cellStyle name="Header2 4 2 5 3" xfId="8880" xr:uid="{00000000-0005-0000-0000-0000B0220000}"/>
    <cellStyle name="Header2 4 2 6" xfId="8881" xr:uid="{00000000-0005-0000-0000-0000B1220000}"/>
    <cellStyle name="Header2 4 3" xfId="8882" xr:uid="{00000000-0005-0000-0000-0000B2220000}"/>
    <cellStyle name="Header2 5" xfId="8883" xr:uid="{00000000-0005-0000-0000-0000B3220000}"/>
    <cellStyle name="Header2 5 2" xfId="8884" xr:uid="{00000000-0005-0000-0000-0000B4220000}"/>
    <cellStyle name="Header2 5 2 2" xfId="8885" xr:uid="{00000000-0005-0000-0000-0000B5220000}"/>
    <cellStyle name="Header2 5 2 2 2" xfId="8886" xr:uid="{00000000-0005-0000-0000-0000B6220000}"/>
    <cellStyle name="Header2 5 2 2 3" xfId="8887" xr:uid="{00000000-0005-0000-0000-0000B7220000}"/>
    <cellStyle name="Header2 5 2 3" xfId="8888" xr:uid="{00000000-0005-0000-0000-0000B8220000}"/>
    <cellStyle name="Header2 5 3" xfId="8889" xr:uid="{00000000-0005-0000-0000-0000B9220000}"/>
    <cellStyle name="Header2 6" xfId="8890" xr:uid="{00000000-0005-0000-0000-0000BA220000}"/>
    <cellStyle name="Header2 6 2" xfId="8891" xr:uid="{00000000-0005-0000-0000-0000BB220000}"/>
    <cellStyle name="Header2 6 2 2" xfId="8892" xr:uid="{00000000-0005-0000-0000-0000BC220000}"/>
    <cellStyle name="Header2 6 2 2 2" xfId="8893" xr:uid="{00000000-0005-0000-0000-0000BD220000}"/>
    <cellStyle name="Header2 6 2 2 2 2" xfId="8894" xr:uid="{00000000-0005-0000-0000-0000BE220000}"/>
    <cellStyle name="Header2 6 2 2 2 3" xfId="8895" xr:uid="{00000000-0005-0000-0000-0000BF220000}"/>
    <cellStyle name="Header2 6 2 2 3" xfId="8896" xr:uid="{00000000-0005-0000-0000-0000C0220000}"/>
    <cellStyle name="Header2 6 2 3" xfId="8897" xr:uid="{00000000-0005-0000-0000-0000C1220000}"/>
    <cellStyle name="Header2 6 3" xfId="8898" xr:uid="{00000000-0005-0000-0000-0000C2220000}"/>
    <cellStyle name="Header2 6 3 2" xfId="8899" xr:uid="{00000000-0005-0000-0000-0000C3220000}"/>
    <cellStyle name="Header2 6 3 2 2" xfId="8900" xr:uid="{00000000-0005-0000-0000-0000C4220000}"/>
    <cellStyle name="Header2 6 3 2 2 2" xfId="8901" xr:uid="{00000000-0005-0000-0000-0000C5220000}"/>
    <cellStyle name="Header2 6 3 2 2 3" xfId="8902" xr:uid="{00000000-0005-0000-0000-0000C6220000}"/>
    <cellStyle name="Header2 6 3 2 3" xfId="8903" xr:uid="{00000000-0005-0000-0000-0000C7220000}"/>
    <cellStyle name="Header2 6 3 3" xfId="8904" xr:uid="{00000000-0005-0000-0000-0000C8220000}"/>
    <cellStyle name="Header2 6 3 3 2" xfId="8905" xr:uid="{00000000-0005-0000-0000-0000C9220000}"/>
    <cellStyle name="Header2 6 3 3 3" xfId="8906" xr:uid="{00000000-0005-0000-0000-0000CA220000}"/>
    <cellStyle name="Header2 6 3 4" xfId="8907" xr:uid="{00000000-0005-0000-0000-0000CB220000}"/>
    <cellStyle name="Header2 6 4" xfId="8908" xr:uid="{00000000-0005-0000-0000-0000CC220000}"/>
    <cellStyle name="Header2 6 4 2" xfId="8909" xr:uid="{00000000-0005-0000-0000-0000CD220000}"/>
    <cellStyle name="Header2 6 4 2 2" xfId="8910" xr:uid="{00000000-0005-0000-0000-0000CE220000}"/>
    <cellStyle name="Header2 6 4 2 3" xfId="8911" xr:uid="{00000000-0005-0000-0000-0000CF220000}"/>
    <cellStyle name="Header2 6 4 3" xfId="8912" xr:uid="{00000000-0005-0000-0000-0000D0220000}"/>
    <cellStyle name="Header2 6 5" xfId="8913" xr:uid="{00000000-0005-0000-0000-0000D1220000}"/>
    <cellStyle name="Header2 6 5 2" xfId="8914" xr:uid="{00000000-0005-0000-0000-0000D2220000}"/>
    <cellStyle name="Header2 6 5 3" xfId="8915" xr:uid="{00000000-0005-0000-0000-0000D3220000}"/>
    <cellStyle name="Header2 6 6" xfId="8916" xr:uid="{00000000-0005-0000-0000-0000D4220000}"/>
    <cellStyle name="Header2 7" xfId="8917" xr:uid="{00000000-0005-0000-0000-0000D5220000}"/>
    <cellStyle name="Heading 1 2" xfId="8918" xr:uid="{00000000-0005-0000-0000-0000D6220000}"/>
    <cellStyle name="Heading 1 2 10" xfId="8919" xr:uid="{00000000-0005-0000-0000-0000D7220000}"/>
    <cellStyle name="Heading 1 2 10 2" xfId="8920" xr:uid="{00000000-0005-0000-0000-0000D8220000}"/>
    <cellStyle name="Heading 1 2 11" xfId="8921" xr:uid="{00000000-0005-0000-0000-0000D9220000}"/>
    <cellStyle name="Heading 1 2 12" xfId="8922" xr:uid="{00000000-0005-0000-0000-0000DA220000}"/>
    <cellStyle name="Heading 1 2 2" xfId="8923" xr:uid="{00000000-0005-0000-0000-0000DB220000}"/>
    <cellStyle name="Heading 1 2 2 2" xfId="8924" xr:uid="{00000000-0005-0000-0000-0000DC220000}"/>
    <cellStyle name="Heading 1 2 2 2 2" xfId="8925" xr:uid="{00000000-0005-0000-0000-0000DD220000}"/>
    <cellStyle name="Heading 1 2 2 3" xfId="8926" xr:uid="{00000000-0005-0000-0000-0000DE220000}"/>
    <cellStyle name="Heading 1 2 2 3 2" xfId="8927" xr:uid="{00000000-0005-0000-0000-0000DF220000}"/>
    <cellStyle name="Heading 1 2 2 3 2 2" xfId="8928" xr:uid="{00000000-0005-0000-0000-0000E0220000}"/>
    <cellStyle name="Heading 1 2 2 3 3" xfId="8929" xr:uid="{00000000-0005-0000-0000-0000E1220000}"/>
    <cellStyle name="Heading 1 2 2 4" xfId="8930" xr:uid="{00000000-0005-0000-0000-0000E2220000}"/>
    <cellStyle name="Heading 1 2 3" xfId="8931" xr:uid="{00000000-0005-0000-0000-0000E3220000}"/>
    <cellStyle name="Heading 1 2 3 2" xfId="8932" xr:uid="{00000000-0005-0000-0000-0000E4220000}"/>
    <cellStyle name="Heading 1 2 3 2 2" xfId="8933" xr:uid="{00000000-0005-0000-0000-0000E5220000}"/>
    <cellStyle name="Heading 1 2 3 3" xfId="8934" xr:uid="{00000000-0005-0000-0000-0000E6220000}"/>
    <cellStyle name="Heading 1 2 3 3 2" xfId="8935" xr:uid="{00000000-0005-0000-0000-0000E7220000}"/>
    <cellStyle name="Heading 1 2 3 3 2 2" xfId="8936" xr:uid="{00000000-0005-0000-0000-0000E8220000}"/>
    <cellStyle name="Heading 1 2 3 3 3" xfId="8937" xr:uid="{00000000-0005-0000-0000-0000E9220000}"/>
    <cellStyle name="Heading 1 2 3 4" xfId="8938" xr:uid="{00000000-0005-0000-0000-0000EA220000}"/>
    <cellStyle name="Heading 1 2 4" xfId="8939" xr:uid="{00000000-0005-0000-0000-0000EB220000}"/>
    <cellStyle name="Heading 1 2 4 2" xfId="8940" xr:uid="{00000000-0005-0000-0000-0000EC220000}"/>
    <cellStyle name="Heading 1 2 4 2 2" xfId="8941" xr:uid="{00000000-0005-0000-0000-0000ED220000}"/>
    <cellStyle name="Heading 1 2 4 3" xfId="8942" xr:uid="{00000000-0005-0000-0000-0000EE220000}"/>
    <cellStyle name="Heading 1 2 5" xfId="8943" xr:uid="{00000000-0005-0000-0000-0000EF220000}"/>
    <cellStyle name="Heading 1 2 5 2" xfId="8944" xr:uid="{00000000-0005-0000-0000-0000F0220000}"/>
    <cellStyle name="Heading 1 2 5 2 2" xfId="8945" xr:uid="{00000000-0005-0000-0000-0000F1220000}"/>
    <cellStyle name="Heading 1 2 5 3" xfId="8946" xr:uid="{00000000-0005-0000-0000-0000F2220000}"/>
    <cellStyle name="Heading 1 2 5 3 2" xfId="8947" xr:uid="{00000000-0005-0000-0000-0000F3220000}"/>
    <cellStyle name="Heading 1 2 5 3 2 2" xfId="8948" xr:uid="{00000000-0005-0000-0000-0000F4220000}"/>
    <cellStyle name="Heading 1 2 5 3 3" xfId="8949" xr:uid="{00000000-0005-0000-0000-0000F5220000}"/>
    <cellStyle name="Heading 1 2 5 4" xfId="8950" xr:uid="{00000000-0005-0000-0000-0000F6220000}"/>
    <cellStyle name="Heading 1 2 6" xfId="8951" xr:uid="{00000000-0005-0000-0000-0000F7220000}"/>
    <cellStyle name="Heading 1 2 6 2" xfId="8952" xr:uid="{00000000-0005-0000-0000-0000F8220000}"/>
    <cellStyle name="Heading 1 2 7" xfId="8953" xr:uid="{00000000-0005-0000-0000-0000F9220000}"/>
    <cellStyle name="Heading 1 2 7 2" xfId="8954" xr:uid="{00000000-0005-0000-0000-0000FA220000}"/>
    <cellStyle name="Heading 1 2 8" xfId="8955" xr:uid="{00000000-0005-0000-0000-0000FB220000}"/>
    <cellStyle name="Heading 1 2 8 2" xfId="8956" xr:uid="{00000000-0005-0000-0000-0000FC220000}"/>
    <cellStyle name="Heading 1 2 8 2 2" xfId="8957" xr:uid="{00000000-0005-0000-0000-0000FD220000}"/>
    <cellStyle name="Heading 1 2 8 3" xfId="8958" xr:uid="{00000000-0005-0000-0000-0000FE220000}"/>
    <cellStyle name="Heading 1 2 9" xfId="8959" xr:uid="{00000000-0005-0000-0000-0000FF220000}"/>
    <cellStyle name="Heading 1 2 9 2" xfId="8960" xr:uid="{00000000-0005-0000-0000-000000230000}"/>
    <cellStyle name="Heading 1 2 9 2 2" xfId="8961" xr:uid="{00000000-0005-0000-0000-000001230000}"/>
    <cellStyle name="Heading 1 2 9 3" xfId="8962" xr:uid="{00000000-0005-0000-0000-000002230000}"/>
    <cellStyle name="Heading 1 3" xfId="8963" xr:uid="{00000000-0005-0000-0000-000003230000}"/>
    <cellStyle name="Heading 1 3 2" xfId="8964" xr:uid="{00000000-0005-0000-0000-000004230000}"/>
    <cellStyle name="Heading 1 3 2 2" xfId="8965" xr:uid="{00000000-0005-0000-0000-000005230000}"/>
    <cellStyle name="Heading 1 3 3" xfId="8966" xr:uid="{00000000-0005-0000-0000-000006230000}"/>
    <cellStyle name="Heading 1 3 3 2" xfId="8967" xr:uid="{00000000-0005-0000-0000-000007230000}"/>
    <cellStyle name="Heading 1 3 4" xfId="8968" xr:uid="{00000000-0005-0000-0000-000008230000}"/>
    <cellStyle name="Heading 1 3 4 2" xfId="8969" xr:uid="{00000000-0005-0000-0000-000009230000}"/>
    <cellStyle name="Heading 1 3 4 2 2" xfId="8970" xr:uid="{00000000-0005-0000-0000-00000A230000}"/>
    <cellStyle name="Heading 1 3 4 3" xfId="8971" xr:uid="{00000000-0005-0000-0000-00000B230000}"/>
    <cellStyle name="Heading 1 3 5" xfId="8972" xr:uid="{00000000-0005-0000-0000-00000C230000}"/>
    <cellStyle name="Heading 1 4" xfId="8973" xr:uid="{00000000-0005-0000-0000-00000D230000}"/>
    <cellStyle name="Heading 1 4 2" xfId="8974" xr:uid="{00000000-0005-0000-0000-00000E230000}"/>
    <cellStyle name="Heading 1 4 2 2" xfId="8975" xr:uid="{00000000-0005-0000-0000-00000F230000}"/>
    <cellStyle name="Heading 1 4 3" xfId="8976" xr:uid="{00000000-0005-0000-0000-000010230000}"/>
    <cellStyle name="Heading 1 4 3 2" xfId="8977" xr:uid="{00000000-0005-0000-0000-000011230000}"/>
    <cellStyle name="Heading 1 4 3 2 2" xfId="8978" xr:uid="{00000000-0005-0000-0000-000012230000}"/>
    <cellStyle name="Heading 1 4 3 3" xfId="8979" xr:uid="{00000000-0005-0000-0000-000013230000}"/>
    <cellStyle name="Heading 1 4 4" xfId="8980" xr:uid="{00000000-0005-0000-0000-000014230000}"/>
    <cellStyle name="Heading 1 5" xfId="8981" xr:uid="{00000000-0005-0000-0000-000015230000}"/>
    <cellStyle name="Heading 1 5 2" xfId="8982" xr:uid="{00000000-0005-0000-0000-000016230000}"/>
    <cellStyle name="Heading 1 5 2 2" xfId="8983" xr:uid="{00000000-0005-0000-0000-000017230000}"/>
    <cellStyle name="Heading 1 5 3" xfId="8984" xr:uid="{00000000-0005-0000-0000-000018230000}"/>
    <cellStyle name="Heading 1 5 3 2" xfId="8985" xr:uid="{00000000-0005-0000-0000-000019230000}"/>
    <cellStyle name="Heading 1 5 3 2 2" xfId="8986" xr:uid="{00000000-0005-0000-0000-00001A230000}"/>
    <cellStyle name="Heading 1 5 3 3" xfId="8987" xr:uid="{00000000-0005-0000-0000-00001B230000}"/>
    <cellStyle name="Heading 1 5 4" xfId="8988" xr:uid="{00000000-0005-0000-0000-00001C230000}"/>
    <cellStyle name="Heading 1 6" xfId="8989" xr:uid="{00000000-0005-0000-0000-00001D230000}"/>
    <cellStyle name="Heading 1 6 2" xfId="8990" xr:uid="{00000000-0005-0000-0000-00001E230000}"/>
    <cellStyle name="Heading 1 6 2 2" xfId="8991" xr:uid="{00000000-0005-0000-0000-00001F230000}"/>
    <cellStyle name="Heading 1 6 3" xfId="8992" xr:uid="{00000000-0005-0000-0000-000020230000}"/>
    <cellStyle name="Heading 1 7" xfId="8993" xr:uid="{00000000-0005-0000-0000-000021230000}"/>
    <cellStyle name="Heading 1 7 2" xfId="8994" xr:uid="{00000000-0005-0000-0000-000022230000}"/>
    <cellStyle name="Heading 1 8" xfId="8995" xr:uid="{00000000-0005-0000-0000-000023230000}"/>
    <cellStyle name="Heading 1 9" xfId="8996" xr:uid="{00000000-0005-0000-0000-000024230000}"/>
    <cellStyle name="Heading 2 2" xfId="8997" xr:uid="{00000000-0005-0000-0000-000025230000}"/>
    <cellStyle name="Heading 2 2 10" xfId="8998" xr:uid="{00000000-0005-0000-0000-000026230000}"/>
    <cellStyle name="Heading 2 2 10 2" xfId="8999" xr:uid="{00000000-0005-0000-0000-000027230000}"/>
    <cellStyle name="Heading 2 2 11" xfId="9000" xr:uid="{00000000-0005-0000-0000-000028230000}"/>
    <cellStyle name="Heading 2 2 12" xfId="9001" xr:uid="{00000000-0005-0000-0000-000029230000}"/>
    <cellStyle name="Heading 2 2 2" xfId="9002" xr:uid="{00000000-0005-0000-0000-00002A230000}"/>
    <cellStyle name="Heading 2 2 2 2" xfId="9003" xr:uid="{00000000-0005-0000-0000-00002B230000}"/>
    <cellStyle name="Heading 2 2 2 2 2" xfId="9004" xr:uid="{00000000-0005-0000-0000-00002C230000}"/>
    <cellStyle name="Heading 2 2 2 3" xfId="9005" xr:uid="{00000000-0005-0000-0000-00002D230000}"/>
    <cellStyle name="Heading 2 2 2 3 2" xfId="9006" xr:uid="{00000000-0005-0000-0000-00002E230000}"/>
    <cellStyle name="Heading 2 2 2 3 2 2" xfId="9007" xr:uid="{00000000-0005-0000-0000-00002F230000}"/>
    <cellStyle name="Heading 2 2 2 3 3" xfId="9008" xr:uid="{00000000-0005-0000-0000-000030230000}"/>
    <cellStyle name="Heading 2 2 2 4" xfId="9009" xr:uid="{00000000-0005-0000-0000-000031230000}"/>
    <cellStyle name="Heading 2 2 3" xfId="9010" xr:uid="{00000000-0005-0000-0000-000032230000}"/>
    <cellStyle name="Heading 2 2 3 2" xfId="9011" xr:uid="{00000000-0005-0000-0000-000033230000}"/>
    <cellStyle name="Heading 2 2 3 2 2" xfId="9012" xr:uid="{00000000-0005-0000-0000-000034230000}"/>
    <cellStyle name="Heading 2 2 3 3" xfId="9013" xr:uid="{00000000-0005-0000-0000-000035230000}"/>
    <cellStyle name="Heading 2 2 3 3 2" xfId="9014" xr:uid="{00000000-0005-0000-0000-000036230000}"/>
    <cellStyle name="Heading 2 2 3 3 2 2" xfId="9015" xr:uid="{00000000-0005-0000-0000-000037230000}"/>
    <cellStyle name="Heading 2 2 3 3 3" xfId="9016" xr:uid="{00000000-0005-0000-0000-000038230000}"/>
    <cellStyle name="Heading 2 2 3 4" xfId="9017" xr:uid="{00000000-0005-0000-0000-000039230000}"/>
    <cellStyle name="Heading 2 2 4" xfId="9018" xr:uid="{00000000-0005-0000-0000-00003A230000}"/>
    <cellStyle name="Heading 2 2 4 2" xfId="9019" xr:uid="{00000000-0005-0000-0000-00003B230000}"/>
    <cellStyle name="Heading 2 2 4 2 2" xfId="9020" xr:uid="{00000000-0005-0000-0000-00003C230000}"/>
    <cellStyle name="Heading 2 2 4 3" xfId="9021" xr:uid="{00000000-0005-0000-0000-00003D230000}"/>
    <cellStyle name="Heading 2 2 5" xfId="9022" xr:uid="{00000000-0005-0000-0000-00003E230000}"/>
    <cellStyle name="Heading 2 2 5 2" xfId="9023" xr:uid="{00000000-0005-0000-0000-00003F230000}"/>
    <cellStyle name="Heading 2 2 5 2 2" xfId="9024" xr:uid="{00000000-0005-0000-0000-000040230000}"/>
    <cellStyle name="Heading 2 2 5 3" xfId="9025" xr:uid="{00000000-0005-0000-0000-000041230000}"/>
    <cellStyle name="Heading 2 2 5 3 2" xfId="9026" xr:uid="{00000000-0005-0000-0000-000042230000}"/>
    <cellStyle name="Heading 2 2 5 3 2 2" xfId="9027" xr:uid="{00000000-0005-0000-0000-000043230000}"/>
    <cellStyle name="Heading 2 2 5 3 3" xfId="9028" xr:uid="{00000000-0005-0000-0000-000044230000}"/>
    <cellStyle name="Heading 2 2 5 4" xfId="9029" xr:uid="{00000000-0005-0000-0000-000045230000}"/>
    <cellStyle name="Heading 2 2 6" xfId="9030" xr:uid="{00000000-0005-0000-0000-000046230000}"/>
    <cellStyle name="Heading 2 2 6 2" xfId="9031" xr:uid="{00000000-0005-0000-0000-000047230000}"/>
    <cellStyle name="Heading 2 2 6 2 2" xfId="9032" xr:uid="{00000000-0005-0000-0000-000048230000}"/>
    <cellStyle name="Heading 2 2 6 3" xfId="9033" xr:uid="{00000000-0005-0000-0000-000049230000}"/>
    <cellStyle name="Heading 2 2 6 3 2" xfId="9034" xr:uid="{00000000-0005-0000-0000-00004A230000}"/>
    <cellStyle name="Heading 2 2 6 4" xfId="9035" xr:uid="{00000000-0005-0000-0000-00004B230000}"/>
    <cellStyle name="Heading 2 2 7" xfId="9036" xr:uid="{00000000-0005-0000-0000-00004C230000}"/>
    <cellStyle name="Heading 2 2 7 2" xfId="9037" xr:uid="{00000000-0005-0000-0000-00004D230000}"/>
    <cellStyle name="Heading 2 2 8" xfId="9038" xr:uid="{00000000-0005-0000-0000-00004E230000}"/>
    <cellStyle name="Heading 2 2 8 2" xfId="9039" xr:uid="{00000000-0005-0000-0000-00004F230000}"/>
    <cellStyle name="Heading 2 2 8 2 2" xfId="9040" xr:uid="{00000000-0005-0000-0000-000050230000}"/>
    <cellStyle name="Heading 2 2 8 3" xfId="9041" xr:uid="{00000000-0005-0000-0000-000051230000}"/>
    <cellStyle name="Heading 2 2 9" xfId="9042" xr:uid="{00000000-0005-0000-0000-000052230000}"/>
    <cellStyle name="Heading 2 2 9 2" xfId="9043" xr:uid="{00000000-0005-0000-0000-000053230000}"/>
    <cellStyle name="Heading 2 2 9 2 2" xfId="9044" xr:uid="{00000000-0005-0000-0000-000054230000}"/>
    <cellStyle name="Heading 2 2 9 3" xfId="9045" xr:uid="{00000000-0005-0000-0000-000055230000}"/>
    <cellStyle name="Heading 2 3" xfId="9046" xr:uid="{00000000-0005-0000-0000-000056230000}"/>
    <cellStyle name="Heading 2 3 2" xfId="9047" xr:uid="{00000000-0005-0000-0000-000057230000}"/>
    <cellStyle name="Heading 2 3 2 2" xfId="9048" xr:uid="{00000000-0005-0000-0000-000058230000}"/>
    <cellStyle name="Heading 2 3 3" xfId="9049" xr:uid="{00000000-0005-0000-0000-000059230000}"/>
    <cellStyle name="Heading 2 3 3 2" xfId="9050" xr:uid="{00000000-0005-0000-0000-00005A230000}"/>
    <cellStyle name="Heading 2 3 4" xfId="9051" xr:uid="{00000000-0005-0000-0000-00005B230000}"/>
    <cellStyle name="Heading 2 3 4 2" xfId="9052" xr:uid="{00000000-0005-0000-0000-00005C230000}"/>
    <cellStyle name="Heading 2 3 4 2 2" xfId="9053" xr:uid="{00000000-0005-0000-0000-00005D230000}"/>
    <cellStyle name="Heading 2 3 4 3" xfId="9054" xr:uid="{00000000-0005-0000-0000-00005E230000}"/>
    <cellStyle name="Heading 2 3 5" xfId="9055" xr:uid="{00000000-0005-0000-0000-00005F230000}"/>
    <cellStyle name="Heading 2 4" xfId="9056" xr:uid="{00000000-0005-0000-0000-000060230000}"/>
    <cellStyle name="Heading 2 4 2" xfId="9057" xr:uid="{00000000-0005-0000-0000-000061230000}"/>
    <cellStyle name="Heading 2 4 2 2" xfId="9058" xr:uid="{00000000-0005-0000-0000-000062230000}"/>
    <cellStyle name="Heading 2 4 3" xfId="9059" xr:uid="{00000000-0005-0000-0000-000063230000}"/>
    <cellStyle name="Heading 2 4 3 2" xfId="9060" xr:uid="{00000000-0005-0000-0000-000064230000}"/>
    <cellStyle name="Heading 2 4 3 2 2" xfId="9061" xr:uid="{00000000-0005-0000-0000-000065230000}"/>
    <cellStyle name="Heading 2 4 3 3" xfId="9062" xr:uid="{00000000-0005-0000-0000-000066230000}"/>
    <cellStyle name="Heading 2 4 4" xfId="9063" xr:uid="{00000000-0005-0000-0000-000067230000}"/>
    <cellStyle name="Heading 2 5" xfId="9064" xr:uid="{00000000-0005-0000-0000-000068230000}"/>
    <cellStyle name="Heading 2 5 2" xfId="9065" xr:uid="{00000000-0005-0000-0000-000069230000}"/>
    <cellStyle name="Heading 2 5 2 2" xfId="9066" xr:uid="{00000000-0005-0000-0000-00006A230000}"/>
    <cellStyle name="Heading 2 5 3" xfId="9067" xr:uid="{00000000-0005-0000-0000-00006B230000}"/>
    <cellStyle name="Heading 2 5 3 2" xfId="9068" xr:uid="{00000000-0005-0000-0000-00006C230000}"/>
    <cellStyle name="Heading 2 5 3 2 2" xfId="9069" xr:uid="{00000000-0005-0000-0000-00006D230000}"/>
    <cellStyle name="Heading 2 5 3 3" xfId="9070" xr:uid="{00000000-0005-0000-0000-00006E230000}"/>
    <cellStyle name="Heading 2 5 4" xfId="9071" xr:uid="{00000000-0005-0000-0000-00006F230000}"/>
    <cellStyle name="Heading 2 6" xfId="9072" xr:uid="{00000000-0005-0000-0000-000070230000}"/>
    <cellStyle name="Heading 2 6 2" xfId="9073" xr:uid="{00000000-0005-0000-0000-000071230000}"/>
    <cellStyle name="Heading 2 6 2 2" xfId="9074" xr:uid="{00000000-0005-0000-0000-000072230000}"/>
    <cellStyle name="Heading 2 6 3" xfId="9075" xr:uid="{00000000-0005-0000-0000-000073230000}"/>
    <cellStyle name="Heading 2 7" xfId="9076" xr:uid="{00000000-0005-0000-0000-000074230000}"/>
    <cellStyle name="Heading 2 7 2" xfId="9077" xr:uid="{00000000-0005-0000-0000-000075230000}"/>
    <cellStyle name="Heading 2 8" xfId="9078" xr:uid="{00000000-0005-0000-0000-000076230000}"/>
    <cellStyle name="Heading 2 9" xfId="9079" xr:uid="{00000000-0005-0000-0000-000077230000}"/>
    <cellStyle name="Heading 3 2" xfId="9080" xr:uid="{00000000-0005-0000-0000-000078230000}"/>
    <cellStyle name="Heading 3 2 10" xfId="9081" xr:uid="{00000000-0005-0000-0000-000079230000}"/>
    <cellStyle name="Heading 3 2 10 2" xfId="9082" xr:uid="{00000000-0005-0000-0000-00007A230000}"/>
    <cellStyle name="Heading 3 2 11" xfId="9083" xr:uid="{00000000-0005-0000-0000-00007B230000}"/>
    <cellStyle name="Heading 3 2 12" xfId="9084" xr:uid="{00000000-0005-0000-0000-00007C230000}"/>
    <cellStyle name="Heading 3 2 2" xfId="9085" xr:uid="{00000000-0005-0000-0000-00007D230000}"/>
    <cellStyle name="Heading 3 2 2 2" xfId="9086" xr:uid="{00000000-0005-0000-0000-00007E230000}"/>
    <cellStyle name="Heading 3 2 2 2 2" xfId="9087" xr:uid="{00000000-0005-0000-0000-00007F230000}"/>
    <cellStyle name="Heading 3 2 2 3" xfId="9088" xr:uid="{00000000-0005-0000-0000-000080230000}"/>
    <cellStyle name="Heading 3 2 2 3 2" xfId="9089" xr:uid="{00000000-0005-0000-0000-000081230000}"/>
    <cellStyle name="Heading 3 2 2 3 2 2" xfId="9090" xr:uid="{00000000-0005-0000-0000-000082230000}"/>
    <cellStyle name="Heading 3 2 2 3 3" xfId="9091" xr:uid="{00000000-0005-0000-0000-000083230000}"/>
    <cellStyle name="Heading 3 2 2 4" xfId="9092" xr:uid="{00000000-0005-0000-0000-000084230000}"/>
    <cellStyle name="Heading 3 2 3" xfId="9093" xr:uid="{00000000-0005-0000-0000-000085230000}"/>
    <cellStyle name="Heading 3 2 3 2" xfId="9094" xr:uid="{00000000-0005-0000-0000-000086230000}"/>
    <cellStyle name="Heading 3 2 3 2 2" xfId="9095" xr:uid="{00000000-0005-0000-0000-000087230000}"/>
    <cellStyle name="Heading 3 2 3 3" xfId="9096" xr:uid="{00000000-0005-0000-0000-000088230000}"/>
    <cellStyle name="Heading 3 2 3 3 2" xfId="9097" xr:uid="{00000000-0005-0000-0000-000089230000}"/>
    <cellStyle name="Heading 3 2 3 3 2 2" xfId="9098" xr:uid="{00000000-0005-0000-0000-00008A230000}"/>
    <cellStyle name="Heading 3 2 3 3 3" xfId="9099" xr:uid="{00000000-0005-0000-0000-00008B230000}"/>
    <cellStyle name="Heading 3 2 3 4" xfId="9100" xr:uid="{00000000-0005-0000-0000-00008C230000}"/>
    <cellStyle name="Heading 3 2 4" xfId="9101" xr:uid="{00000000-0005-0000-0000-00008D230000}"/>
    <cellStyle name="Heading 3 2 4 2" xfId="9102" xr:uid="{00000000-0005-0000-0000-00008E230000}"/>
    <cellStyle name="Heading 3 2 4 2 2" xfId="9103" xr:uid="{00000000-0005-0000-0000-00008F230000}"/>
    <cellStyle name="Heading 3 2 4 3" xfId="9104" xr:uid="{00000000-0005-0000-0000-000090230000}"/>
    <cellStyle name="Heading 3 2 5" xfId="9105" xr:uid="{00000000-0005-0000-0000-000091230000}"/>
    <cellStyle name="Heading 3 2 5 2" xfId="9106" xr:uid="{00000000-0005-0000-0000-000092230000}"/>
    <cellStyle name="Heading 3 2 5 2 2" xfId="9107" xr:uid="{00000000-0005-0000-0000-000093230000}"/>
    <cellStyle name="Heading 3 2 5 3" xfId="9108" xr:uid="{00000000-0005-0000-0000-000094230000}"/>
    <cellStyle name="Heading 3 2 5 3 2" xfId="9109" xr:uid="{00000000-0005-0000-0000-000095230000}"/>
    <cellStyle name="Heading 3 2 5 3 2 2" xfId="9110" xr:uid="{00000000-0005-0000-0000-000096230000}"/>
    <cellStyle name="Heading 3 2 5 3 3" xfId="9111" xr:uid="{00000000-0005-0000-0000-000097230000}"/>
    <cellStyle name="Heading 3 2 5 4" xfId="9112" xr:uid="{00000000-0005-0000-0000-000098230000}"/>
    <cellStyle name="Heading 3 2 6" xfId="9113" xr:uid="{00000000-0005-0000-0000-000099230000}"/>
    <cellStyle name="Heading 3 2 6 2" xfId="9114" xr:uid="{00000000-0005-0000-0000-00009A230000}"/>
    <cellStyle name="Heading 3 2 6 2 2" xfId="9115" xr:uid="{00000000-0005-0000-0000-00009B230000}"/>
    <cellStyle name="Heading 3 2 6 3" xfId="9116" xr:uid="{00000000-0005-0000-0000-00009C230000}"/>
    <cellStyle name="Heading 3 2 6 3 2" xfId="9117" xr:uid="{00000000-0005-0000-0000-00009D230000}"/>
    <cellStyle name="Heading 3 2 6 4" xfId="9118" xr:uid="{00000000-0005-0000-0000-00009E230000}"/>
    <cellStyle name="Heading 3 2 7" xfId="9119" xr:uid="{00000000-0005-0000-0000-00009F230000}"/>
    <cellStyle name="Heading 3 2 7 2" xfId="9120" xr:uid="{00000000-0005-0000-0000-0000A0230000}"/>
    <cellStyle name="Heading 3 2 8" xfId="9121" xr:uid="{00000000-0005-0000-0000-0000A1230000}"/>
    <cellStyle name="Heading 3 2 8 2" xfId="9122" xr:uid="{00000000-0005-0000-0000-0000A2230000}"/>
    <cellStyle name="Heading 3 2 8 2 2" xfId="9123" xr:uid="{00000000-0005-0000-0000-0000A3230000}"/>
    <cellStyle name="Heading 3 2 8 3" xfId="9124" xr:uid="{00000000-0005-0000-0000-0000A4230000}"/>
    <cellStyle name="Heading 3 2 9" xfId="9125" xr:uid="{00000000-0005-0000-0000-0000A5230000}"/>
    <cellStyle name="Heading 3 2 9 2" xfId="9126" xr:uid="{00000000-0005-0000-0000-0000A6230000}"/>
    <cellStyle name="Heading 3 2 9 2 2" xfId="9127" xr:uid="{00000000-0005-0000-0000-0000A7230000}"/>
    <cellStyle name="Heading 3 2 9 3" xfId="9128" xr:uid="{00000000-0005-0000-0000-0000A8230000}"/>
    <cellStyle name="Heading 3 3" xfId="9129" xr:uid="{00000000-0005-0000-0000-0000A9230000}"/>
    <cellStyle name="Heading 3 3 2" xfId="9130" xr:uid="{00000000-0005-0000-0000-0000AA230000}"/>
    <cellStyle name="Heading 3 3 2 2" xfId="9131" xr:uid="{00000000-0005-0000-0000-0000AB230000}"/>
    <cellStyle name="Heading 3 3 3" xfId="9132" xr:uid="{00000000-0005-0000-0000-0000AC230000}"/>
    <cellStyle name="Heading 3 3 3 2" xfId="9133" xr:uid="{00000000-0005-0000-0000-0000AD230000}"/>
    <cellStyle name="Heading 3 3 4" xfId="9134" xr:uid="{00000000-0005-0000-0000-0000AE230000}"/>
    <cellStyle name="Heading 3 3 4 2" xfId="9135" xr:uid="{00000000-0005-0000-0000-0000AF230000}"/>
    <cellStyle name="Heading 3 3 4 2 2" xfId="9136" xr:uid="{00000000-0005-0000-0000-0000B0230000}"/>
    <cellStyle name="Heading 3 3 4 3" xfId="9137" xr:uid="{00000000-0005-0000-0000-0000B1230000}"/>
    <cellStyle name="Heading 3 3 5" xfId="9138" xr:uid="{00000000-0005-0000-0000-0000B2230000}"/>
    <cellStyle name="Heading 3 4" xfId="9139" xr:uid="{00000000-0005-0000-0000-0000B3230000}"/>
    <cellStyle name="Heading 3 4 2" xfId="9140" xr:uid="{00000000-0005-0000-0000-0000B4230000}"/>
    <cellStyle name="Heading 3 4 2 2" xfId="9141" xr:uid="{00000000-0005-0000-0000-0000B5230000}"/>
    <cellStyle name="Heading 3 4 3" xfId="9142" xr:uid="{00000000-0005-0000-0000-0000B6230000}"/>
    <cellStyle name="Heading 3 4 3 2" xfId="9143" xr:uid="{00000000-0005-0000-0000-0000B7230000}"/>
    <cellStyle name="Heading 3 4 3 2 2" xfId="9144" xr:uid="{00000000-0005-0000-0000-0000B8230000}"/>
    <cellStyle name="Heading 3 4 3 3" xfId="9145" xr:uid="{00000000-0005-0000-0000-0000B9230000}"/>
    <cellStyle name="Heading 3 4 4" xfId="9146" xr:uid="{00000000-0005-0000-0000-0000BA230000}"/>
    <cellStyle name="Heading 3 5" xfId="9147" xr:uid="{00000000-0005-0000-0000-0000BB230000}"/>
    <cellStyle name="Heading 3 5 2" xfId="9148" xr:uid="{00000000-0005-0000-0000-0000BC230000}"/>
    <cellStyle name="Heading 3 5 2 2" xfId="9149" xr:uid="{00000000-0005-0000-0000-0000BD230000}"/>
    <cellStyle name="Heading 3 5 3" xfId="9150" xr:uid="{00000000-0005-0000-0000-0000BE230000}"/>
    <cellStyle name="Heading 3 5 3 2" xfId="9151" xr:uid="{00000000-0005-0000-0000-0000BF230000}"/>
    <cellStyle name="Heading 3 5 3 2 2" xfId="9152" xr:uid="{00000000-0005-0000-0000-0000C0230000}"/>
    <cellStyle name="Heading 3 5 3 3" xfId="9153" xr:uid="{00000000-0005-0000-0000-0000C1230000}"/>
    <cellStyle name="Heading 3 5 4" xfId="9154" xr:uid="{00000000-0005-0000-0000-0000C2230000}"/>
    <cellStyle name="Heading 3 6" xfId="9155" xr:uid="{00000000-0005-0000-0000-0000C3230000}"/>
    <cellStyle name="Heading 3 6 2" xfId="9156" xr:uid="{00000000-0005-0000-0000-0000C4230000}"/>
    <cellStyle name="Heading 3 6 2 2" xfId="9157" xr:uid="{00000000-0005-0000-0000-0000C5230000}"/>
    <cellStyle name="Heading 3 6 3" xfId="9158" xr:uid="{00000000-0005-0000-0000-0000C6230000}"/>
    <cellStyle name="Heading 3 7" xfId="9159" xr:uid="{00000000-0005-0000-0000-0000C7230000}"/>
    <cellStyle name="Heading 3 7 2" xfId="9160" xr:uid="{00000000-0005-0000-0000-0000C8230000}"/>
    <cellStyle name="Heading 3 8" xfId="9161" xr:uid="{00000000-0005-0000-0000-0000C9230000}"/>
    <cellStyle name="Heading 3 9" xfId="9162" xr:uid="{00000000-0005-0000-0000-0000CA230000}"/>
    <cellStyle name="Heading 4 2" xfId="9163" xr:uid="{00000000-0005-0000-0000-0000CB230000}"/>
    <cellStyle name="Heading 4 2 10" xfId="9164" xr:uid="{00000000-0005-0000-0000-0000CC230000}"/>
    <cellStyle name="Heading 4 2 10 2" xfId="9165" xr:uid="{00000000-0005-0000-0000-0000CD230000}"/>
    <cellStyle name="Heading 4 2 11" xfId="9166" xr:uid="{00000000-0005-0000-0000-0000CE230000}"/>
    <cellStyle name="Heading 4 2 12" xfId="9167" xr:uid="{00000000-0005-0000-0000-0000CF230000}"/>
    <cellStyle name="Heading 4 2 2" xfId="9168" xr:uid="{00000000-0005-0000-0000-0000D0230000}"/>
    <cellStyle name="Heading 4 2 2 2" xfId="9169" xr:uid="{00000000-0005-0000-0000-0000D1230000}"/>
    <cellStyle name="Heading 4 2 2 2 2" xfId="9170" xr:uid="{00000000-0005-0000-0000-0000D2230000}"/>
    <cellStyle name="Heading 4 2 2 3" xfId="9171" xr:uid="{00000000-0005-0000-0000-0000D3230000}"/>
    <cellStyle name="Heading 4 2 2 3 2" xfId="9172" xr:uid="{00000000-0005-0000-0000-0000D4230000}"/>
    <cellStyle name="Heading 4 2 2 3 2 2" xfId="9173" xr:uid="{00000000-0005-0000-0000-0000D5230000}"/>
    <cellStyle name="Heading 4 2 2 3 3" xfId="9174" xr:uid="{00000000-0005-0000-0000-0000D6230000}"/>
    <cellStyle name="Heading 4 2 2 4" xfId="9175" xr:uid="{00000000-0005-0000-0000-0000D7230000}"/>
    <cellStyle name="Heading 4 2 3" xfId="9176" xr:uid="{00000000-0005-0000-0000-0000D8230000}"/>
    <cellStyle name="Heading 4 2 3 2" xfId="9177" xr:uid="{00000000-0005-0000-0000-0000D9230000}"/>
    <cellStyle name="Heading 4 2 3 2 2" xfId="9178" xr:uid="{00000000-0005-0000-0000-0000DA230000}"/>
    <cellStyle name="Heading 4 2 3 3" xfId="9179" xr:uid="{00000000-0005-0000-0000-0000DB230000}"/>
    <cellStyle name="Heading 4 2 3 3 2" xfId="9180" xr:uid="{00000000-0005-0000-0000-0000DC230000}"/>
    <cellStyle name="Heading 4 2 3 3 2 2" xfId="9181" xr:uid="{00000000-0005-0000-0000-0000DD230000}"/>
    <cellStyle name="Heading 4 2 3 3 3" xfId="9182" xr:uid="{00000000-0005-0000-0000-0000DE230000}"/>
    <cellStyle name="Heading 4 2 3 4" xfId="9183" xr:uid="{00000000-0005-0000-0000-0000DF230000}"/>
    <cellStyle name="Heading 4 2 4" xfId="9184" xr:uid="{00000000-0005-0000-0000-0000E0230000}"/>
    <cellStyle name="Heading 4 2 4 2" xfId="9185" xr:uid="{00000000-0005-0000-0000-0000E1230000}"/>
    <cellStyle name="Heading 4 2 4 2 2" xfId="9186" xr:uid="{00000000-0005-0000-0000-0000E2230000}"/>
    <cellStyle name="Heading 4 2 4 3" xfId="9187" xr:uid="{00000000-0005-0000-0000-0000E3230000}"/>
    <cellStyle name="Heading 4 2 5" xfId="9188" xr:uid="{00000000-0005-0000-0000-0000E4230000}"/>
    <cellStyle name="Heading 4 2 5 2" xfId="9189" xr:uid="{00000000-0005-0000-0000-0000E5230000}"/>
    <cellStyle name="Heading 4 2 5 2 2" xfId="9190" xr:uid="{00000000-0005-0000-0000-0000E6230000}"/>
    <cellStyle name="Heading 4 2 5 3" xfId="9191" xr:uid="{00000000-0005-0000-0000-0000E7230000}"/>
    <cellStyle name="Heading 4 2 5 3 2" xfId="9192" xr:uid="{00000000-0005-0000-0000-0000E8230000}"/>
    <cellStyle name="Heading 4 2 5 3 2 2" xfId="9193" xr:uid="{00000000-0005-0000-0000-0000E9230000}"/>
    <cellStyle name="Heading 4 2 5 3 3" xfId="9194" xr:uid="{00000000-0005-0000-0000-0000EA230000}"/>
    <cellStyle name="Heading 4 2 5 4" xfId="9195" xr:uid="{00000000-0005-0000-0000-0000EB230000}"/>
    <cellStyle name="Heading 4 2 6" xfId="9196" xr:uid="{00000000-0005-0000-0000-0000EC230000}"/>
    <cellStyle name="Heading 4 2 6 2" xfId="9197" xr:uid="{00000000-0005-0000-0000-0000ED230000}"/>
    <cellStyle name="Heading 4 2 7" xfId="9198" xr:uid="{00000000-0005-0000-0000-0000EE230000}"/>
    <cellStyle name="Heading 4 2 7 2" xfId="9199" xr:uid="{00000000-0005-0000-0000-0000EF230000}"/>
    <cellStyle name="Heading 4 2 8" xfId="9200" xr:uid="{00000000-0005-0000-0000-0000F0230000}"/>
    <cellStyle name="Heading 4 2 8 2" xfId="9201" xr:uid="{00000000-0005-0000-0000-0000F1230000}"/>
    <cellStyle name="Heading 4 2 8 2 2" xfId="9202" xr:uid="{00000000-0005-0000-0000-0000F2230000}"/>
    <cellStyle name="Heading 4 2 8 3" xfId="9203" xr:uid="{00000000-0005-0000-0000-0000F3230000}"/>
    <cellStyle name="Heading 4 2 9" xfId="9204" xr:uid="{00000000-0005-0000-0000-0000F4230000}"/>
    <cellStyle name="Heading 4 2 9 2" xfId="9205" xr:uid="{00000000-0005-0000-0000-0000F5230000}"/>
    <cellStyle name="Heading 4 2 9 2 2" xfId="9206" xr:uid="{00000000-0005-0000-0000-0000F6230000}"/>
    <cellStyle name="Heading 4 2 9 3" xfId="9207" xr:uid="{00000000-0005-0000-0000-0000F7230000}"/>
    <cellStyle name="Heading 4 3" xfId="9208" xr:uid="{00000000-0005-0000-0000-0000F8230000}"/>
    <cellStyle name="Heading 4 3 2" xfId="9209" xr:uid="{00000000-0005-0000-0000-0000F9230000}"/>
    <cellStyle name="Heading 4 3 2 2" xfId="9210" xr:uid="{00000000-0005-0000-0000-0000FA230000}"/>
    <cellStyle name="Heading 4 3 3" xfId="9211" xr:uid="{00000000-0005-0000-0000-0000FB230000}"/>
    <cellStyle name="Heading 4 3 3 2" xfId="9212" xr:uid="{00000000-0005-0000-0000-0000FC230000}"/>
    <cellStyle name="Heading 4 3 4" xfId="9213" xr:uid="{00000000-0005-0000-0000-0000FD230000}"/>
    <cellStyle name="Heading 4 3 4 2" xfId="9214" xr:uid="{00000000-0005-0000-0000-0000FE230000}"/>
    <cellStyle name="Heading 4 3 4 2 2" xfId="9215" xr:uid="{00000000-0005-0000-0000-0000FF230000}"/>
    <cellStyle name="Heading 4 3 4 3" xfId="9216" xr:uid="{00000000-0005-0000-0000-000000240000}"/>
    <cellStyle name="Heading 4 3 5" xfId="9217" xr:uid="{00000000-0005-0000-0000-000001240000}"/>
    <cellStyle name="Heading 4 4" xfId="9218" xr:uid="{00000000-0005-0000-0000-000002240000}"/>
    <cellStyle name="Heading 4 4 2" xfId="9219" xr:uid="{00000000-0005-0000-0000-000003240000}"/>
    <cellStyle name="Heading 4 4 2 2" xfId="9220" xr:uid="{00000000-0005-0000-0000-000004240000}"/>
    <cellStyle name="Heading 4 4 3" xfId="9221" xr:uid="{00000000-0005-0000-0000-000005240000}"/>
    <cellStyle name="Heading 4 4 3 2" xfId="9222" xr:uid="{00000000-0005-0000-0000-000006240000}"/>
    <cellStyle name="Heading 4 4 3 2 2" xfId="9223" xr:uid="{00000000-0005-0000-0000-000007240000}"/>
    <cellStyle name="Heading 4 4 3 3" xfId="9224" xr:uid="{00000000-0005-0000-0000-000008240000}"/>
    <cellStyle name="Heading 4 4 4" xfId="9225" xr:uid="{00000000-0005-0000-0000-000009240000}"/>
    <cellStyle name="Heading 4 5" xfId="9226" xr:uid="{00000000-0005-0000-0000-00000A240000}"/>
    <cellStyle name="Heading 4 5 2" xfId="9227" xr:uid="{00000000-0005-0000-0000-00000B240000}"/>
    <cellStyle name="Heading 4 5 2 2" xfId="9228" xr:uid="{00000000-0005-0000-0000-00000C240000}"/>
    <cellStyle name="Heading 4 5 3" xfId="9229" xr:uid="{00000000-0005-0000-0000-00000D240000}"/>
    <cellStyle name="Heading 4 5 3 2" xfId="9230" xr:uid="{00000000-0005-0000-0000-00000E240000}"/>
    <cellStyle name="Heading 4 5 3 2 2" xfId="9231" xr:uid="{00000000-0005-0000-0000-00000F240000}"/>
    <cellStyle name="Heading 4 5 3 3" xfId="9232" xr:uid="{00000000-0005-0000-0000-000010240000}"/>
    <cellStyle name="Heading 4 5 4" xfId="9233" xr:uid="{00000000-0005-0000-0000-000011240000}"/>
    <cellStyle name="Heading 4 6" xfId="9234" xr:uid="{00000000-0005-0000-0000-000012240000}"/>
    <cellStyle name="Heading 4 6 2" xfId="9235" xr:uid="{00000000-0005-0000-0000-000013240000}"/>
    <cellStyle name="Heading 4 6 2 2" xfId="9236" xr:uid="{00000000-0005-0000-0000-000014240000}"/>
    <cellStyle name="Heading 4 6 3" xfId="9237" xr:uid="{00000000-0005-0000-0000-000015240000}"/>
    <cellStyle name="Heading 4 7" xfId="9238" xr:uid="{00000000-0005-0000-0000-000016240000}"/>
    <cellStyle name="Heading 4 7 2" xfId="9239" xr:uid="{00000000-0005-0000-0000-000017240000}"/>
    <cellStyle name="Heading 4 8" xfId="9240" xr:uid="{00000000-0005-0000-0000-000018240000}"/>
    <cellStyle name="Heading 4 9" xfId="9241" xr:uid="{00000000-0005-0000-0000-000019240000}"/>
    <cellStyle name="Heading1" xfId="9242" xr:uid="{00000000-0005-0000-0000-00001A240000}"/>
    <cellStyle name="Heading1 2" xfId="9243" xr:uid="{00000000-0005-0000-0000-00001B240000}"/>
    <cellStyle name="Heading1 2 2" xfId="9244" xr:uid="{00000000-0005-0000-0000-00001C240000}"/>
    <cellStyle name="Heading1 3" xfId="9245" xr:uid="{00000000-0005-0000-0000-00001D240000}"/>
    <cellStyle name="Heading1 3 2" xfId="9246" xr:uid="{00000000-0005-0000-0000-00001E240000}"/>
    <cellStyle name="Heading1 4" xfId="9247" xr:uid="{00000000-0005-0000-0000-00001F240000}"/>
    <cellStyle name="Heading1 5" xfId="9248" xr:uid="{00000000-0005-0000-0000-000020240000}"/>
    <cellStyle name="Heading2" xfId="9249" xr:uid="{00000000-0005-0000-0000-000021240000}"/>
    <cellStyle name="Heading2 2" xfId="9250" xr:uid="{00000000-0005-0000-0000-000022240000}"/>
    <cellStyle name="Heading2 2 2" xfId="9251" xr:uid="{00000000-0005-0000-0000-000023240000}"/>
    <cellStyle name="Heading2 3" xfId="9252" xr:uid="{00000000-0005-0000-0000-000024240000}"/>
    <cellStyle name="Heading2 3 2" xfId="9253" xr:uid="{00000000-0005-0000-0000-000025240000}"/>
    <cellStyle name="Heading2 4" xfId="9254" xr:uid="{00000000-0005-0000-0000-000026240000}"/>
    <cellStyle name="Heading2 5" xfId="9255" xr:uid="{00000000-0005-0000-0000-000027240000}"/>
    <cellStyle name="HEADINGS" xfId="9256" xr:uid="{00000000-0005-0000-0000-000028240000}"/>
    <cellStyle name="HEADINGS 2" xfId="9257" xr:uid="{00000000-0005-0000-0000-000029240000}"/>
    <cellStyle name="HEADINGS 2 2" xfId="9258" xr:uid="{00000000-0005-0000-0000-00002A240000}"/>
    <cellStyle name="HEADINGS 2 2 2" xfId="9259" xr:uid="{00000000-0005-0000-0000-00002B240000}"/>
    <cellStyle name="HEADINGS 2 3" xfId="9260" xr:uid="{00000000-0005-0000-0000-00002C240000}"/>
    <cellStyle name="HEADINGS 2 3 2" xfId="9261" xr:uid="{00000000-0005-0000-0000-00002D240000}"/>
    <cellStyle name="HEADINGS 2 3 2 2" xfId="9262" xr:uid="{00000000-0005-0000-0000-00002E240000}"/>
    <cellStyle name="HEADINGS 2 3 3" xfId="9263" xr:uid="{00000000-0005-0000-0000-00002F240000}"/>
    <cellStyle name="HEADINGS 2 4" xfId="9264" xr:uid="{00000000-0005-0000-0000-000030240000}"/>
    <cellStyle name="HEADINGS 3" xfId="9265" xr:uid="{00000000-0005-0000-0000-000031240000}"/>
    <cellStyle name="HEADINGS 3 2" xfId="9266" xr:uid="{00000000-0005-0000-0000-000032240000}"/>
    <cellStyle name="HEADINGS 3 2 2" xfId="9267" xr:uid="{00000000-0005-0000-0000-000033240000}"/>
    <cellStyle name="HEADINGS 3 3" xfId="9268" xr:uid="{00000000-0005-0000-0000-000034240000}"/>
    <cellStyle name="HEADINGS 4" xfId="9269" xr:uid="{00000000-0005-0000-0000-000035240000}"/>
    <cellStyle name="HEADINGS 4 2" xfId="9270" xr:uid="{00000000-0005-0000-0000-000036240000}"/>
    <cellStyle name="HEADINGS 4 2 2" xfId="9271" xr:uid="{00000000-0005-0000-0000-000037240000}"/>
    <cellStyle name="HEADINGS 4 3" xfId="9272" xr:uid="{00000000-0005-0000-0000-000038240000}"/>
    <cellStyle name="HEADINGS 5" xfId="9273" xr:uid="{00000000-0005-0000-0000-000039240000}"/>
    <cellStyle name="HEADINGS 5 2" xfId="9274" xr:uid="{00000000-0005-0000-0000-00003A240000}"/>
    <cellStyle name="HEADINGS 6" xfId="9275" xr:uid="{00000000-0005-0000-0000-00003B240000}"/>
    <cellStyle name="HEADINGS 6 2" xfId="9276" xr:uid="{00000000-0005-0000-0000-00003C240000}"/>
    <cellStyle name="HEADINGS 7" xfId="9277" xr:uid="{00000000-0005-0000-0000-00003D240000}"/>
    <cellStyle name="HEADINGSTOP" xfId="9278" xr:uid="{00000000-0005-0000-0000-00003E240000}"/>
    <cellStyle name="HEADINGSTOP 2" xfId="9279" xr:uid="{00000000-0005-0000-0000-00003F240000}"/>
    <cellStyle name="HEADINGSTOP 2 2" xfId="9280" xr:uid="{00000000-0005-0000-0000-000040240000}"/>
    <cellStyle name="HEADINGSTOP 2 2 2" xfId="9281" xr:uid="{00000000-0005-0000-0000-000041240000}"/>
    <cellStyle name="HEADINGSTOP 2 3" xfId="9282" xr:uid="{00000000-0005-0000-0000-000042240000}"/>
    <cellStyle name="HEADINGSTOP 2 3 2" xfId="9283" xr:uid="{00000000-0005-0000-0000-000043240000}"/>
    <cellStyle name="HEADINGSTOP 2 3 2 2" xfId="9284" xr:uid="{00000000-0005-0000-0000-000044240000}"/>
    <cellStyle name="HEADINGSTOP 2 3 3" xfId="9285" xr:uid="{00000000-0005-0000-0000-000045240000}"/>
    <cellStyle name="HEADINGSTOP 2 4" xfId="9286" xr:uid="{00000000-0005-0000-0000-000046240000}"/>
    <cellStyle name="HEADINGSTOP 3" xfId="9287" xr:uid="{00000000-0005-0000-0000-000047240000}"/>
    <cellStyle name="HEADINGSTOP 3 2" xfId="9288" xr:uid="{00000000-0005-0000-0000-000048240000}"/>
    <cellStyle name="HEADINGSTOP 3 2 2" xfId="9289" xr:uid="{00000000-0005-0000-0000-000049240000}"/>
    <cellStyle name="HEADINGSTOP 3 3" xfId="9290" xr:uid="{00000000-0005-0000-0000-00004A240000}"/>
    <cellStyle name="HEADINGSTOP 4" xfId="9291" xr:uid="{00000000-0005-0000-0000-00004B240000}"/>
    <cellStyle name="HEADINGSTOP 4 2" xfId="9292" xr:uid="{00000000-0005-0000-0000-00004C240000}"/>
    <cellStyle name="HEADINGSTOP 4 2 2" xfId="9293" xr:uid="{00000000-0005-0000-0000-00004D240000}"/>
    <cellStyle name="HEADINGSTOP 4 3" xfId="9294" xr:uid="{00000000-0005-0000-0000-00004E240000}"/>
    <cellStyle name="HEADINGSTOP 5" xfId="9295" xr:uid="{00000000-0005-0000-0000-00004F240000}"/>
    <cellStyle name="HEADINGSTOP 5 2" xfId="9296" xr:uid="{00000000-0005-0000-0000-000050240000}"/>
    <cellStyle name="HEADINGSTOP 6" xfId="9297" xr:uid="{00000000-0005-0000-0000-000051240000}"/>
    <cellStyle name="HEADINGSTOP 6 2" xfId="9298" xr:uid="{00000000-0005-0000-0000-000052240000}"/>
    <cellStyle name="HEADINGSTOP 7" xfId="9299" xr:uid="{00000000-0005-0000-0000-000053240000}"/>
    <cellStyle name="Helvetica 12" xfId="9300" xr:uid="{00000000-0005-0000-0000-000054240000}"/>
    <cellStyle name="Helvetica 12 2" xfId="9301" xr:uid="{00000000-0005-0000-0000-000055240000}"/>
    <cellStyle name="Helvetica 12 2 2" xfId="9302" xr:uid="{00000000-0005-0000-0000-000056240000}"/>
    <cellStyle name="Helvetica 12 2 2 2" xfId="9303" xr:uid="{00000000-0005-0000-0000-000057240000}"/>
    <cellStyle name="Helvetica 12 2 3" xfId="9304" xr:uid="{00000000-0005-0000-0000-000058240000}"/>
    <cellStyle name="Helvetica 12 2 3 2" xfId="9305" xr:uid="{00000000-0005-0000-0000-000059240000}"/>
    <cellStyle name="Helvetica 12 2 3 2 2" xfId="9306" xr:uid="{00000000-0005-0000-0000-00005A240000}"/>
    <cellStyle name="Helvetica 12 2 3 3" xfId="9307" xr:uid="{00000000-0005-0000-0000-00005B240000}"/>
    <cellStyle name="Helvetica 12 2 4" xfId="9308" xr:uid="{00000000-0005-0000-0000-00005C240000}"/>
    <cellStyle name="Helvetica 12 3" xfId="9309" xr:uid="{00000000-0005-0000-0000-00005D240000}"/>
    <cellStyle name="Helvetica 12 3 2" xfId="9310" xr:uid="{00000000-0005-0000-0000-00005E240000}"/>
    <cellStyle name="Helvetica 12 3 2 2" xfId="9311" xr:uid="{00000000-0005-0000-0000-00005F240000}"/>
    <cellStyle name="Helvetica 12 3 3" xfId="9312" xr:uid="{00000000-0005-0000-0000-000060240000}"/>
    <cellStyle name="Helvetica 12 4" xfId="9313" xr:uid="{00000000-0005-0000-0000-000061240000}"/>
    <cellStyle name="Helvetica 12 4 2" xfId="9314" xr:uid="{00000000-0005-0000-0000-000062240000}"/>
    <cellStyle name="Helvetica 12 5" xfId="9315" xr:uid="{00000000-0005-0000-0000-000063240000}"/>
    <cellStyle name="Helvetica 12 5 2" xfId="9316" xr:uid="{00000000-0005-0000-0000-000064240000}"/>
    <cellStyle name="Helvetica 12 6" xfId="9317" xr:uid="{00000000-0005-0000-0000-000065240000}"/>
    <cellStyle name="Hidden" xfId="9318" xr:uid="{00000000-0005-0000-0000-000066240000}"/>
    <cellStyle name="Hidden 2" xfId="9319" xr:uid="{00000000-0005-0000-0000-000067240000}"/>
    <cellStyle name="HIGHLIGHT" xfId="9320" xr:uid="{00000000-0005-0000-0000-000068240000}"/>
    <cellStyle name="HIGHLIGHT 2" xfId="9321" xr:uid="{00000000-0005-0000-0000-000069240000}"/>
    <cellStyle name="HIGHLIGHT 2 2" xfId="9322" xr:uid="{00000000-0005-0000-0000-00006A240000}"/>
    <cellStyle name="HIGHLIGHT 2 2 2" xfId="9323" xr:uid="{00000000-0005-0000-0000-00006B240000}"/>
    <cellStyle name="HIGHLIGHT 2 2 2 2" xfId="9324" xr:uid="{00000000-0005-0000-0000-00006C240000}"/>
    <cellStyle name="HIGHLIGHT 2 2 3" xfId="9325" xr:uid="{00000000-0005-0000-0000-00006D240000}"/>
    <cellStyle name="HIGHLIGHT 2 2 3 2" xfId="9326" xr:uid="{00000000-0005-0000-0000-00006E240000}"/>
    <cellStyle name="HIGHLIGHT 2 2 3 2 2" xfId="9327" xr:uid="{00000000-0005-0000-0000-00006F240000}"/>
    <cellStyle name="HIGHLIGHT 2 2 3 3" xfId="9328" xr:uid="{00000000-0005-0000-0000-000070240000}"/>
    <cellStyle name="HIGHLIGHT 2 2 4" xfId="9329" xr:uid="{00000000-0005-0000-0000-000071240000}"/>
    <cellStyle name="HIGHLIGHT 2 3" xfId="9330" xr:uid="{00000000-0005-0000-0000-000072240000}"/>
    <cellStyle name="HIGHLIGHT 2 3 2" xfId="9331" xr:uid="{00000000-0005-0000-0000-000073240000}"/>
    <cellStyle name="HIGHLIGHT 2 4" xfId="9332" xr:uid="{00000000-0005-0000-0000-000074240000}"/>
    <cellStyle name="HIGHLIGHT 3" xfId="9333" xr:uid="{00000000-0005-0000-0000-000075240000}"/>
    <cellStyle name="HIGHLIGHT 3 2" xfId="9334" xr:uid="{00000000-0005-0000-0000-000076240000}"/>
    <cellStyle name="HIGHLIGHT 4" xfId="9335" xr:uid="{00000000-0005-0000-0000-000077240000}"/>
    <cellStyle name="HIGHLIGHT 4 2" xfId="9336" xr:uid="{00000000-0005-0000-0000-000078240000}"/>
    <cellStyle name="HIGHLIGHT 5" xfId="9337" xr:uid="{00000000-0005-0000-0000-000079240000}"/>
    <cellStyle name="highlite" xfId="9338" xr:uid="{00000000-0005-0000-0000-00007A240000}"/>
    <cellStyle name="hilite" xfId="9339" xr:uid="{00000000-0005-0000-0000-00007B240000}"/>
    <cellStyle name="HITLITE" xfId="9340" xr:uid="{00000000-0005-0000-0000-00007C240000}"/>
    <cellStyle name="HITLITE 2" xfId="9341" xr:uid="{00000000-0005-0000-0000-00007D240000}"/>
    <cellStyle name="Hyperlink" xfId="31681" xr:uid="{00000000-0005-0000-0000-0000C17B0000}"/>
    <cellStyle name="Hyperlink 2" xfId="9342" xr:uid="{00000000-0005-0000-0000-00007E240000}"/>
    <cellStyle name="Initial Inputs" xfId="9343" xr:uid="{00000000-0005-0000-0000-00007F240000}"/>
    <cellStyle name="Initial Inputs 2" xfId="9344" xr:uid="{00000000-0005-0000-0000-000080240000}"/>
    <cellStyle name="Input [yellow]" xfId="9345" xr:uid="{00000000-0005-0000-0000-000081240000}"/>
    <cellStyle name="Input [yellow] 2" xfId="9346" xr:uid="{00000000-0005-0000-0000-000082240000}"/>
    <cellStyle name="Input 10" xfId="9347" xr:uid="{00000000-0005-0000-0000-000083240000}"/>
    <cellStyle name="Input 10 2" xfId="9348" xr:uid="{00000000-0005-0000-0000-000084240000}"/>
    <cellStyle name="Input 10 2 2" xfId="9349" xr:uid="{00000000-0005-0000-0000-000085240000}"/>
    <cellStyle name="Input 10 2 2 2" xfId="9350" xr:uid="{00000000-0005-0000-0000-000086240000}"/>
    <cellStyle name="Input 10 2 3" xfId="9351" xr:uid="{00000000-0005-0000-0000-000087240000}"/>
    <cellStyle name="Input 10 3" xfId="9352" xr:uid="{00000000-0005-0000-0000-000088240000}"/>
    <cellStyle name="Input 10 3 2" xfId="9353" xr:uid="{00000000-0005-0000-0000-000089240000}"/>
    <cellStyle name="Input 10 4" xfId="9354" xr:uid="{00000000-0005-0000-0000-00008A240000}"/>
    <cellStyle name="Input 100" xfId="9355" xr:uid="{00000000-0005-0000-0000-00008B240000}"/>
    <cellStyle name="Input 100 2" xfId="9356" xr:uid="{00000000-0005-0000-0000-00008C240000}"/>
    <cellStyle name="Input 100 2 2" xfId="9357" xr:uid="{00000000-0005-0000-0000-00008D240000}"/>
    <cellStyle name="Input 100 2 2 2" xfId="9358" xr:uid="{00000000-0005-0000-0000-00008E240000}"/>
    <cellStyle name="Input 100 2 3" xfId="9359" xr:uid="{00000000-0005-0000-0000-00008F240000}"/>
    <cellStyle name="Input 100 3" xfId="9360" xr:uid="{00000000-0005-0000-0000-000090240000}"/>
    <cellStyle name="Input 100 3 2" xfId="9361" xr:uid="{00000000-0005-0000-0000-000091240000}"/>
    <cellStyle name="Input 100 4" xfId="9362" xr:uid="{00000000-0005-0000-0000-000092240000}"/>
    <cellStyle name="Input 101" xfId="9363" xr:uid="{00000000-0005-0000-0000-000093240000}"/>
    <cellStyle name="Input 101 2" xfId="9364" xr:uid="{00000000-0005-0000-0000-000094240000}"/>
    <cellStyle name="Input 101 2 2" xfId="9365" xr:uid="{00000000-0005-0000-0000-000095240000}"/>
    <cellStyle name="Input 101 2 2 2" xfId="9366" xr:uid="{00000000-0005-0000-0000-000096240000}"/>
    <cellStyle name="Input 101 2 3" xfId="9367" xr:uid="{00000000-0005-0000-0000-000097240000}"/>
    <cellStyle name="Input 101 3" xfId="9368" xr:uid="{00000000-0005-0000-0000-000098240000}"/>
    <cellStyle name="Input 101 3 2" xfId="9369" xr:uid="{00000000-0005-0000-0000-000099240000}"/>
    <cellStyle name="Input 101 4" xfId="9370" xr:uid="{00000000-0005-0000-0000-00009A240000}"/>
    <cellStyle name="Input 102" xfId="9371" xr:uid="{00000000-0005-0000-0000-00009B240000}"/>
    <cellStyle name="Input 102 2" xfId="9372" xr:uid="{00000000-0005-0000-0000-00009C240000}"/>
    <cellStyle name="Input 102 2 2" xfId="9373" xr:uid="{00000000-0005-0000-0000-00009D240000}"/>
    <cellStyle name="Input 102 2 2 2" xfId="9374" xr:uid="{00000000-0005-0000-0000-00009E240000}"/>
    <cellStyle name="Input 102 2 2 2 2" xfId="9375" xr:uid="{00000000-0005-0000-0000-00009F240000}"/>
    <cellStyle name="Input 102 2 2 3" xfId="9376" xr:uid="{00000000-0005-0000-0000-0000A0240000}"/>
    <cellStyle name="Input 102 2 3" xfId="9377" xr:uid="{00000000-0005-0000-0000-0000A1240000}"/>
    <cellStyle name="Input 102 2 3 2" xfId="9378" xr:uid="{00000000-0005-0000-0000-0000A2240000}"/>
    <cellStyle name="Input 102 2 4" xfId="9379" xr:uid="{00000000-0005-0000-0000-0000A3240000}"/>
    <cellStyle name="Input 102 3" xfId="9380" xr:uid="{00000000-0005-0000-0000-0000A4240000}"/>
    <cellStyle name="Input 102 3 2" xfId="9381" xr:uid="{00000000-0005-0000-0000-0000A5240000}"/>
    <cellStyle name="Input 102 3 2 2" xfId="9382" xr:uid="{00000000-0005-0000-0000-0000A6240000}"/>
    <cellStyle name="Input 102 3 3" xfId="9383" xr:uid="{00000000-0005-0000-0000-0000A7240000}"/>
    <cellStyle name="Input 102 4" xfId="9384" xr:uid="{00000000-0005-0000-0000-0000A8240000}"/>
    <cellStyle name="Input 102 4 2" xfId="9385" xr:uid="{00000000-0005-0000-0000-0000A9240000}"/>
    <cellStyle name="Input 102 5" xfId="9386" xr:uid="{00000000-0005-0000-0000-0000AA240000}"/>
    <cellStyle name="Input 103" xfId="9387" xr:uid="{00000000-0005-0000-0000-0000AB240000}"/>
    <cellStyle name="Input 103 2" xfId="9388" xr:uid="{00000000-0005-0000-0000-0000AC240000}"/>
    <cellStyle name="Input 103 2 2" xfId="9389" xr:uid="{00000000-0005-0000-0000-0000AD240000}"/>
    <cellStyle name="Input 103 2 2 2" xfId="9390" xr:uid="{00000000-0005-0000-0000-0000AE240000}"/>
    <cellStyle name="Input 103 2 2 2 2" xfId="9391" xr:uid="{00000000-0005-0000-0000-0000AF240000}"/>
    <cellStyle name="Input 103 2 2 3" xfId="9392" xr:uid="{00000000-0005-0000-0000-0000B0240000}"/>
    <cellStyle name="Input 103 2 3" xfId="9393" xr:uid="{00000000-0005-0000-0000-0000B1240000}"/>
    <cellStyle name="Input 103 2 3 2" xfId="9394" xr:uid="{00000000-0005-0000-0000-0000B2240000}"/>
    <cellStyle name="Input 103 2 4" xfId="9395" xr:uid="{00000000-0005-0000-0000-0000B3240000}"/>
    <cellStyle name="Input 103 3" xfId="9396" xr:uid="{00000000-0005-0000-0000-0000B4240000}"/>
    <cellStyle name="Input 103 3 2" xfId="9397" xr:uid="{00000000-0005-0000-0000-0000B5240000}"/>
    <cellStyle name="Input 103 3 2 2" xfId="9398" xr:uid="{00000000-0005-0000-0000-0000B6240000}"/>
    <cellStyle name="Input 103 3 3" xfId="9399" xr:uid="{00000000-0005-0000-0000-0000B7240000}"/>
    <cellStyle name="Input 103 4" xfId="9400" xr:uid="{00000000-0005-0000-0000-0000B8240000}"/>
    <cellStyle name="Input 103 4 2" xfId="9401" xr:uid="{00000000-0005-0000-0000-0000B9240000}"/>
    <cellStyle name="Input 103 5" xfId="9402" xr:uid="{00000000-0005-0000-0000-0000BA240000}"/>
    <cellStyle name="Input 104" xfId="9403" xr:uid="{00000000-0005-0000-0000-0000BB240000}"/>
    <cellStyle name="Input 104 2" xfId="9404" xr:uid="{00000000-0005-0000-0000-0000BC240000}"/>
    <cellStyle name="Input 104 2 2" xfId="9405" xr:uid="{00000000-0005-0000-0000-0000BD240000}"/>
    <cellStyle name="Input 104 2 2 2" xfId="9406" xr:uid="{00000000-0005-0000-0000-0000BE240000}"/>
    <cellStyle name="Input 104 2 2 2 2" xfId="9407" xr:uid="{00000000-0005-0000-0000-0000BF240000}"/>
    <cellStyle name="Input 104 2 2 2 2 2" xfId="9408" xr:uid="{00000000-0005-0000-0000-0000C0240000}"/>
    <cellStyle name="Input 104 2 2 2 3" xfId="9409" xr:uid="{00000000-0005-0000-0000-0000C1240000}"/>
    <cellStyle name="Input 104 2 2 3" xfId="9410" xr:uid="{00000000-0005-0000-0000-0000C2240000}"/>
    <cellStyle name="Input 104 2 2 3 2" xfId="9411" xr:uid="{00000000-0005-0000-0000-0000C3240000}"/>
    <cellStyle name="Input 104 2 2 4" xfId="9412" xr:uid="{00000000-0005-0000-0000-0000C4240000}"/>
    <cellStyle name="Input 104 2 3" xfId="9413" xr:uid="{00000000-0005-0000-0000-0000C5240000}"/>
    <cellStyle name="Input 104 2 3 2" xfId="9414" xr:uid="{00000000-0005-0000-0000-0000C6240000}"/>
    <cellStyle name="Input 104 2 3 2 2" xfId="9415" xr:uid="{00000000-0005-0000-0000-0000C7240000}"/>
    <cellStyle name="Input 104 2 3 3" xfId="9416" xr:uid="{00000000-0005-0000-0000-0000C8240000}"/>
    <cellStyle name="Input 104 2 4" xfId="9417" xr:uid="{00000000-0005-0000-0000-0000C9240000}"/>
    <cellStyle name="Input 104 2 4 2" xfId="9418" xr:uid="{00000000-0005-0000-0000-0000CA240000}"/>
    <cellStyle name="Input 104 2 5" xfId="9419" xr:uid="{00000000-0005-0000-0000-0000CB240000}"/>
    <cellStyle name="Input 104 3" xfId="9420" xr:uid="{00000000-0005-0000-0000-0000CC240000}"/>
    <cellStyle name="Input 104 3 2" xfId="9421" xr:uid="{00000000-0005-0000-0000-0000CD240000}"/>
    <cellStyle name="Input 104 3 2 2" xfId="9422" xr:uid="{00000000-0005-0000-0000-0000CE240000}"/>
    <cellStyle name="Input 104 3 2 2 2" xfId="9423" xr:uid="{00000000-0005-0000-0000-0000CF240000}"/>
    <cellStyle name="Input 104 3 2 3" xfId="9424" xr:uid="{00000000-0005-0000-0000-0000D0240000}"/>
    <cellStyle name="Input 104 3 3" xfId="9425" xr:uid="{00000000-0005-0000-0000-0000D1240000}"/>
    <cellStyle name="Input 104 3 3 2" xfId="9426" xr:uid="{00000000-0005-0000-0000-0000D2240000}"/>
    <cellStyle name="Input 104 3 4" xfId="9427" xr:uid="{00000000-0005-0000-0000-0000D3240000}"/>
    <cellStyle name="Input 104 4" xfId="9428" xr:uid="{00000000-0005-0000-0000-0000D4240000}"/>
    <cellStyle name="Input 104 4 2" xfId="9429" xr:uid="{00000000-0005-0000-0000-0000D5240000}"/>
    <cellStyle name="Input 104 4 2 2" xfId="9430" xr:uid="{00000000-0005-0000-0000-0000D6240000}"/>
    <cellStyle name="Input 104 4 3" xfId="9431" xr:uid="{00000000-0005-0000-0000-0000D7240000}"/>
    <cellStyle name="Input 104 5" xfId="9432" xr:uid="{00000000-0005-0000-0000-0000D8240000}"/>
    <cellStyle name="Input 104 5 2" xfId="9433" xr:uid="{00000000-0005-0000-0000-0000D9240000}"/>
    <cellStyle name="Input 104 6" xfId="9434" xr:uid="{00000000-0005-0000-0000-0000DA240000}"/>
    <cellStyle name="Input 105" xfId="9435" xr:uid="{00000000-0005-0000-0000-0000DB240000}"/>
    <cellStyle name="Input 105 2" xfId="9436" xr:uid="{00000000-0005-0000-0000-0000DC240000}"/>
    <cellStyle name="Input 105 2 2" xfId="9437" xr:uid="{00000000-0005-0000-0000-0000DD240000}"/>
    <cellStyle name="Input 105 2 2 2" xfId="9438" xr:uid="{00000000-0005-0000-0000-0000DE240000}"/>
    <cellStyle name="Input 105 2 3" xfId="9439" xr:uid="{00000000-0005-0000-0000-0000DF240000}"/>
    <cellStyle name="Input 105 3" xfId="9440" xr:uid="{00000000-0005-0000-0000-0000E0240000}"/>
    <cellStyle name="Input 105 3 2" xfId="9441" xr:uid="{00000000-0005-0000-0000-0000E1240000}"/>
    <cellStyle name="Input 105 4" xfId="9442" xr:uid="{00000000-0005-0000-0000-0000E2240000}"/>
    <cellStyle name="Input 106" xfId="9443" xr:uid="{00000000-0005-0000-0000-0000E3240000}"/>
    <cellStyle name="Input 106 2" xfId="9444" xr:uid="{00000000-0005-0000-0000-0000E4240000}"/>
    <cellStyle name="Input 106 2 2" xfId="9445" xr:uid="{00000000-0005-0000-0000-0000E5240000}"/>
    <cellStyle name="Input 106 2 2 2" xfId="9446" xr:uid="{00000000-0005-0000-0000-0000E6240000}"/>
    <cellStyle name="Input 106 2 3" xfId="9447" xr:uid="{00000000-0005-0000-0000-0000E7240000}"/>
    <cellStyle name="Input 106 3" xfId="9448" xr:uid="{00000000-0005-0000-0000-0000E8240000}"/>
    <cellStyle name="Input 106 3 2" xfId="9449" xr:uid="{00000000-0005-0000-0000-0000E9240000}"/>
    <cellStyle name="Input 106 4" xfId="9450" xr:uid="{00000000-0005-0000-0000-0000EA240000}"/>
    <cellStyle name="Input 107" xfId="9451" xr:uid="{00000000-0005-0000-0000-0000EB240000}"/>
    <cellStyle name="Input 107 2" xfId="9452" xr:uid="{00000000-0005-0000-0000-0000EC240000}"/>
    <cellStyle name="Input 107 2 2" xfId="9453" xr:uid="{00000000-0005-0000-0000-0000ED240000}"/>
    <cellStyle name="Input 107 2 2 2" xfId="9454" xr:uid="{00000000-0005-0000-0000-0000EE240000}"/>
    <cellStyle name="Input 107 2 3" xfId="9455" xr:uid="{00000000-0005-0000-0000-0000EF240000}"/>
    <cellStyle name="Input 107 3" xfId="9456" xr:uid="{00000000-0005-0000-0000-0000F0240000}"/>
    <cellStyle name="Input 107 3 2" xfId="9457" xr:uid="{00000000-0005-0000-0000-0000F1240000}"/>
    <cellStyle name="Input 107 4" xfId="9458" xr:uid="{00000000-0005-0000-0000-0000F2240000}"/>
    <cellStyle name="Input 108" xfId="9459" xr:uid="{00000000-0005-0000-0000-0000F3240000}"/>
    <cellStyle name="Input 108 2" xfId="9460" xr:uid="{00000000-0005-0000-0000-0000F4240000}"/>
    <cellStyle name="Input 108 2 2" xfId="9461" xr:uid="{00000000-0005-0000-0000-0000F5240000}"/>
    <cellStyle name="Input 108 2 2 2" xfId="9462" xr:uid="{00000000-0005-0000-0000-0000F6240000}"/>
    <cellStyle name="Input 108 2 2 2 2" xfId="9463" xr:uid="{00000000-0005-0000-0000-0000F7240000}"/>
    <cellStyle name="Input 108 2 2 2 2 2" xfId="9464" xr:uid="{00000000-0005-0000-0000-0000F8240000}"/>
    <cellStyle name="Input 108 2 2 2 3" xfId="9465" xr:uid="{00000000-0005-0000-0000-0000F9240000}"/>
    <cellStyle name="Input 108 2 2 3" xfId="9466" xr:uid="{00000000-0005-0000-0000-0000FA240000}"/>
    <cellStyle name="Input 108 2 2 3 2" xfId="9467" xr:uid="{00000000-0005-0000-0000-0000FB240000}"/>
    <cellStyle name="Input 108 2 2 4" xfId="9468" xr:uid="{00000000-0005-0000-0000-0000FC240000}"/>
    <cellStyle name="Input 108 2 3" xfId="9469" xr:uid="{00000000-0005-0000-0000-0000FD240000}"/>
    <cellStyle name="Input 108 2 3 2" xfId="9470" xr:uid="{00000000-0005-0000-0000-0000FE240000}"/>
    <cellStyle name="Input 108 2 3 2 2" xfId="9471" xr:uid="{00000000-0005-0000-0000-0000FF240000}"/>
    <cellStyle name="Input 108 2 3 3" xfId="9472" xr:uid="{00000000-0005-0000-0000-000000250000}"/>
    <cellStyle name="Input 108 2 4" xfId="9473" xr:uid="{00000000-0005-0000-0000-000001250000}"/>
    <cellStyle name="Input 108 2 4 2" xfId="9474" xr:uid="{00000000-0005-0000-0000-000002250000}"/>
    <cellStyle name="Input 108 2 5" xfId="9475" xr:uid="{00000000-0005-0000-0000-000003250000}"/>
    <cellStyle name="Input 108 3" xfId="9476" xr:uid="{00000000-0005-0000-0000-000004250000}"/>
    <cellStyle name="Input 108 3 2" xfId="9477" xr:uid="{00000000-0005-0000-0000-000005250000}"/>
    <cellStyle name="Input 108 3 2 2" xfId="9478" xr:uid="{00000000-0005-0000-0000-000006250000}"/>
    <cellStyle name="Input 108 3 2 2 2" xfId="9479" xr:uid="{00000000-0005-0000-0000-000007250000}"/>
    <cellStyle name="Input 108 3 2 3" xfId="9480" xr:uid="{00000000-0005-0000-0000-000008250000}"/>
    <cellStyle name="Input 108 3 3" xfId="9481" xr:uid="{00000000-0005-0000-0000-000009250000}"/>
    <cellStyle name="Input 108 3 3 2" xfId="9482" xr:uid="{00000000-0005-0000-0000-00000A250000}"/>
    <cellStyle name="Input 108 3 4" xfId="9483" xr:uid="{00000000-0005-0000-0000-00000B250000}"/>
    <cellStyle name="Input 108 4" xfId="9484" xr:uid="{00000000-0005-0000-0000-00000C250000}"/>
    <cellStyle name="Input 108 4 2" xfId="9485" xr:uid="{00000000-0005-0000-0000-00000D250000}"/>
    <cellStyle name="Input 108 4 2 2" xfId="9486" xr:uid="{00000000-0005-0000-0000-00000E250000}"/>
    <cellStyle name="Input 108 4 3" xfId="9487" xr:uid="{00000000-0005-0000-0000-00000F250000}"/>
    <cellStyle name="Input 108 5" xfId="9488" xr:uid="{00000000-0005-0000-0000-000010250000}"/>
    <cellStyle name="Input 108 5 2" xfId="9489" xr:uid="{00000000-0005-0000-0000-000011250000}"/>
    <cellStyle name="Input 108 6" xfId="9490" xr:uid="{00000000-0005-0000-0000-000012250000}"/>
    <cellStyle name="Input 109" xfId="9491" xr:uid="{00000000-0005-0000-0000-000013250000}"/>
    <cellStyle name="Input 109 2" xfId="9492" xr:uid="{00000000-0005-0000-0000-000014250000}"/>
    <cellStyle name="Input 109 2 2" xfId="9493" xr:uid="{00000000-0005-0000-0000-000015250000}"/>
    <cellStyle name="Input 109 2 2 2" xfId="9494" xr:uid="{00000000-0005-0000-0000-000016250000}"/>
    <cellStyle name="Input 109 2 2 2 2" xfId="9495" xr:uid="{00000000-0005-0000-0000-000017250000}"/>
    <cellStyle name="Input 109 2 2 2 2 2" xfId="9496" xr:uid="{00000000-0005-0000-0000-000018250000}"/>
    <cellStyle name="Input 109 2 2 2 3" xfId="9497" xr:uid="{00000000-0005-0000-0000-000019250000}"/>
    <cellStyle name="Input 109 2 2 3" xfId="9498" xr:uid="{00000000-0005-0000-0000-00001A250000}"/>
    <cellStyle name="Input 109 2 2 3 2" xfId="9499" xr:uid="{00000000-0005-0000-0000-00001B250000}"/>
    <cellStyle name="Input 109 2 2 4" xfId="9500" xr:uid="{00000000-0005-0000-0000-00001C250000}"/>
    <cellStyle name="Input 109 2 3" xfId="9501" xr:uid="{00000000-0005-0000-0000-00001D250000}"/>
    <cellStyle name="Input 109 2 3 2" xfId="9502" xr:uid="{00000000-0005-0000-0000-00001E250000}"/>
    <cellStyle name="Input 109 2 3 2 2" xfId="9503" xr:uid="{00000000-0005-0000-0000-00001F250000}"/>
    <cellStyle name="Input 109 2 3 3" xfId="9504" xr:uid="{00000000-0005-0000-0000-000020250000}"/>
    <cellStyle name="Input 109 2 4" xfId="9505" xr:uid="{00000000-0005-0000-0000-000021250000}"/>
    <cellStyle name="Input 109 2 4 2" xfId="9506" xr:uid="{00000000-0005-0000-0000-000022250000}"/>
    <cellStyle name="Input 109 2 5" xfId="9507" xr:uid="{00000000-0005-0000-0000-000023250000}"/>
    <cellStyle name="Input 109 3" xfId="9508" xr:uid="{00000000-0005-0000-0000-000024250000}"/>
    <cellStyle name="Input 109 3 2" xfId="9509" xr:uid="{00000000-0005-0000-0000-000025250000}"/>
    <cellStyle name="Input 109 3 2 2" xfId="9510" xr:uid="{00000000-0005-0000-0000-000026250000}"/>
    <cellStyle name="Input 109 3 2 2 2" xfId="9511" xr:uid="{00000000-0005-0000-0000-000027250000}"/>
    <cellStyle name="Input 109 3 2 3" xfId="9512" xr:uid="{00000000-0005-0000-0000-000028250000}"/>
    <cellStyle name="Input 109 3 3" xfId="9513" xr:uid="{00000000-0005-0000-0000-000029250000}"/>
    <cellStyle name="Input 109 3 3 2" xfId="9514" xr:uid="{00000000-0005-0000-0000-00002A250000}"/>
    <cellStyle name="Input 109 3 4" xfId="9515" xr:uid="{00000000-0005-0000-0000-00002B250000}"/>
    <cellStyle name="Input 109 4" xfId="9516" xr:uid="{00000000-0005-0000-0000-00002C250000}"/>
    <cellStyle name="Input 109 4 2" xfId="9517" xr:uid="{00000000-0005-0000-0000-00002D250000}"/>
    <cellStyle name="Input 109 4 2 2" xfId="9518" xr:uid="{00000000-0005-0000-0000-00002E250000}"/>
    <cellStyle name="Input 109 4 3" xfId="9519" xr:uid="{00000000-0005-0000-0000-00002F250000}"/>
    <cellStyle name="Input 109 5" xfId="9520" xr:uid="{00000000-0005-0000-0000-000030250000}"/>
    <cellStyle name="Input 109 5 2" xfId="9521" xr:uid="{00000000-0005-0000-0000-000031250000}"/>
    <cellStyle name="Input 109 6" xfId="9522" xr:uid="{00000000-0005-0000-0000-000032250000}"/>
    <cellStyle name="Input 11" xfId="9523" xr:uid="{00000000-0005-0000-0000-000033250000}"/>
    <cellStyle name="Input 11 2" xfId="9524" xr:uid="{00000000-0005-0000-0000-000034250000}"/>
    <cellStyle name="Input 11 2 2" xfId="9525" xr:uid="{00000000-0005-0000-0000-000035250000}"/>
    <cellStyle name="Input 11 2 2 2" xfId="9526" xr:uid="{00000000-0005-0000-0000-000036250000}"/>
    <cellStyle name="Input 11 2 3" xfId="9527" xr:uid="{00000000-0005-0000-0000-000037250000}"/>
    <cellStyle name="Input 11 3" xfId="9528" xr:uid="{00000000-0005-0000-0000-000038250000}"/>
    <cellStyle name="Input 11 3 2" xfId="9529" xr:uid="{00000000-0005-0000-0000-000039250000}"/>
    <cellStyle name="Input 11 4" xfId="9530" xr:uid="{00000000-0005-0000-0000-00003A250000}"/>
    <cellStyle name="Input 110" xfId="9531" xr:uid="{00000000-0005-0000-0000-00003B250000}"/>
    <cellStyle name="Input 110 2" xfId="9532" xr:uid="{00000000-0005-0000-0000-00003C250000}"/>
    <cellStyle name="Input 110 2 2" xfId="9533" xr:uid="{00000000-0005-0000-0000-00003D250000}"/>
    <cellStyle name="Input 110 2 2 2" xfId="9534" xr:uid="{00000000-0005-0000-0000-00003E250000}"/>
    <cellStyle name="Input 110 2 2 2 2" xfId="9535" xr:uid="{00000000-0005-0000-0000-00003F250000}"/>
    <cellStyle name="Input 110 2 2 2 2 2" xfId="9536" xr:uid="{00000000-0005-0000-0000-000040250000}"/>
    <cellStyle name="Input 110 2 2 2 3" xfId="9537" xr:uid="{00000000-0005-0000-0000-000041250000}"/>
    <cellStyle name="Input 110 2 2 3" xfId="9538" xr:uid="{00000000-0005-0000-0000-000042250000}"/>
    <cellStyle name="Input 110 2 2 3 2" xfId="9539" xr:uid="{00000000-0005-0000-0000-000043250000}"/>
    <cellStyle name="Input 110 2 2 4" xfId="9540" xr:uid="{00000000-0005-0000-0000-000044250000}"/>
    <cellStyle name="Input 110 2 3" xfId="9541" xr:uid="{00000000-0005-0000-0000-000045250000}"/>
    <cellStyle name="Input 110 2 3 2" xfId="9542" xr:uid="{00000000-0005-0000-0000-000046250000}"/>
    <cellStyle name="Input 110 2 3 2 2" xfId="9543" xr:uid="{00000000-0005-0000-0000-000047250000}"/>
    <cellStyle name="Input 110 2 3 3" xfId="9544" xr:uid="{00000000-0005-0000-0000-000048250000}"/>
    <cellStyle name="Input 110 2 4" xfId="9545" xr:uid="{00000000-0005-0000-0000-000049250000}"/>
    <cellStyle name="Input 110 2 4 2" xfId="9546" xr:uid="{00000000-0005-0000-0000-00004A250000}"/>
    <cellStyle name="Input 110 2 5" xfId="9547" xr:uid="{00000000-0005-0000-0000-00004B250000}"/>
    <cellStyle name="Input 110 3" xfId="9548" xr:uid="{00000000-0005-0000-0000-00004C250000}"/>
    <cellStyle name="Input 110 3 2" xfId="9549" xr:uid="{00000000-0005-0000-0000-00004D250000}"/>
    <cellStyle name="Input 110 3 2 2" xfId="9550" xr:uid="{00000000-0005-0000-0000-00004E250000}"/>
    <cellStyle name="Input 110 3 2 2 2" xfId="9551" xr:uid="{00000000-0005-0000-0000-00004F250000}"/>
    <cellStyle name="Input 110 3 2 3" xfId="9552" xr:uid="{00000000-0005-0000-0000-000050250000}"/>
    <cellStyle name="Input 110 3 3" xfId="9553" xr:uid="{00000000-0005-0000-0000-000051250000}"/>
    <cellStyle name="Input 110 3 3 2" xfId="9554" xr:uid="{00000000-0005-0000-0000-000052250000}"/>
    <cellStyle name="Input 110 3 4" xfId="9555" xr:uid="{00000000-0005-0000-0000-000053250000}"/>
    <cellStyle name="Input 110 4" xfId="9556" xr:uid="{00000000-0005-0000-0000-000054250000}"/>
    <cellStyle name="Input 110 4 2" xfId="9557" xr:uid="{00000000-0005-0000-0000-000055250000}"/>
    <cellStyle name="Input 110 4 2 2" xfId="9558" xr:uid="{00000000-0005-0000-0000-000056250000}"/>
    <cellStyle name="Input 110 4 3" xfId="9559" xr:uid="{00000000-0005-0000-0000-000057250000}"/>
    <cellStyle name="Input 110 5" xfId="9560" xr:uid="{00000000-0005-0000-0000-000058250000}"/>
    <cellStyle name="Input 110 5 2" xfId="9561" xr:uid="{00000000-0005-0000-0000-000059250000}"/>
    <cellStyle name="Input 110 6" xfId="9562" xr:uid="{00000000-0005-0000-0000-00005A250000}"/>
    <cellStyle name="Input 111" xfId="9563" xr:uid="{00000000-0005-0000-0000-00005B250000}"/>
    <cellStyle name="Input 111 2" xfId="9564" xr:uid="{00000000-0005-0000-0000-00005C250000}"/>
    <cellStyle name="Input 111 2 2" xfId="9565" xr:uid="{00000000-0005-0000-0000-00005D250000}"/>
    <cellStyle name="Input 111 2 2 2" xfId="9566" xr:uid="{00000000-0005-0000-0000-00005E250000}"/>
    <cellStyle name="Input 111 2 2 2 2" xfId="9567" xr:uid="{00000000-0005-0000-0000-00005F250000}"/>
    <cellStyle name="Input 111 2 2 2 2 2" xfId="9568" xr:uid="{00000000-0005-0000-0000-000060250000}"/>
    <cellStyle name="Input 111 2 2 2 3" xfId="9569" xr:uid="{00000000-0005-0000-0000-000061250000}"/>
    <cellStyle name="Input 111 2 2 3" xfId="9570" xr:uid="{00000000-0005-0000-0000-000062250000}"/>
    <cellStyle name="Input 111 2 2 3 2" xfId="9571" xr:uid="{00000000-0005-0000-0000-000063250000}"/>
    <cellStyle name="Input 111 2 2 4" xfId="9572" xr:uid="{00000000-0005-0000-0000-000064250000}"/>
    <cellStyle name="Input 111 2 3" xfId="9573" xr:uid="{00000000-0005-0000-0000-000065250000}"/>
    <cellStyle name="Input 111 2 3 2" xfId="9574" xr:uid="{00000000-0005-0000-0000-000066250000}"/>
    <cellStyle name="Input 111 2 3 2 2" xfId="9575" xr:uid="{00000000-0005-0000-0000-000067250000}"/>
    <cellStyle name="Input 111 2 3 3" xfId="9576" xr:uid="{00000000-0005-0000-0000-000068250000}"/>
    <cellStyle name="Input 111 2 4" xfId="9577" xr:uid="{00000000-0005-0000-0000-000069250000}"/>
    <cellStyle name="Input 111 2 4 2" xfId="9578" xr:uid="{00000000-0005-0000-0000-00006A250000}"/>
    <cellStyle name="Input 111 2 5" xfId="9579" xr:uid="{00000000-0005-0000-0000-00006B250000}"/>
    <cellStyle name="Input 111 3" xfId="9580" xr:uid="{00000000-0005-0000-0000-00006C250000}"/>
    <cellStyle name="Input 111 3 2" xfId="9581" xr:uid="{00000000-0005-0000-0000-00006D250000}"/>
    <cellStyle name="Input 111 3 2 2" xfId="9582" xr:uid="{00000000-0005-0000-0000-00006E250000}"/>
    <cellStyle name="Input 111 3 2 2 2" xfId="9583" xr:uid="{00000000-0005-0000-0000-00006F250000}"/>
    <cellStyle name="Input 111 3 2 3" xfId="9584" xr:uid="{00000000-0005-0000-0000-000070250000}"/>
    <cellStyle name="Input 111 3 3" xfId="9585" xr:uid="{00000000-0005-0000-0000-000071250000}"/>
    <cellStyle name="Input 111 3 3 2" xfId="9586" xr:uid="{00000000-0005-0000-0000-000072250000}"/>
    <cellStyle name="Input 111 3 4" xfId="9587" xr:uid="{00000000-0005-0000-0000-000073250000}"/>
    <cellStyle name="Input 111 4" xfId="9588" xr:uid="{00000000-0005-0000-0000-000074250000}"/>
    <cellStyle name="Input 111 4 2" xfId="9589" xr:uid="{00000000-0005-0000-0000-000075250000}"/>
    <cellStyle name="Input 111 4 2 2" xfId="9590" xr:uid="{00000000-0005-0000-0000-000076250000}"/>
    <cellStyle name="Input 111 4 3" xfId="9591" xr:uid="{00000000-0005-0000-0000-000077250000}"/>
    <cellStyle name="Input 111 5" xfId="9592" xr:uid="{00000000-0005-0000-0000-000078250000}"/>
    <cellStyle name="Input 111 5 2" xfId="9593" xr:uid="{00000000-0005-0000-0000-000079250000}"/>
    <cellStyle name="Input 111 6" xfId="9594" xr:uid="{00000000-0005-0000-0000-00007A250000}"/>
    <cellStyle name="Input 112" xfId="9595" xr:uid="{00000000-0005-0000-0000-00007B250000}"/>
    <cellStyle name="Input 112 2" xfId="9596" xr:uid="{00000000-0005-0000-0000-00007C250000}"/>
    <cellStyle name="Input 112 2 2" xfId="9597" xr:uid="{00000000-0005-0000-0000-00007D250000}"/>
    <cellStyle name="Input 112 2 2 2" xfId="9598" xr:uid="{00000000-0005-0000-0000-00007E250000}"/>
    <cellStyle name="Input 112 2 2 2 2" xfId="9599" xr:uid="{00000000-0005-0000-0000-00007F250000}"/>
    <cellStyle name="Input 112 2 2 2 2 2" xfId="9600" xr:uid="{00000000-0005-0000-0000-000080250000}"/>
    <cellStyle name="Input 112 2 2 2 3" xfId="9601" xr:uid="{00000000-0005-0000-0000-000081250000}"/>
    <cellStyle name="Input 112 2 2 3" xfId="9602" xr:uid="{00000000-0005-0000-0000-000082250000}"/>
    <cellStyle name="Input 112 2 2 3 2" xfId="9603" xr:uid="{00000000-0005-0000-0000-000083250000}"/>
    <cellStyle name="Input 112 2 2 4" xfId="9604" xr:uid="{00000000-0005-0000-0000-000084250000}"/>
    <cellStyle name="Input 112 2 3" xfId="9605" xr:uid="{00000000-0005-0000-0000-000085250000}"/>
    <cellStyle name="Input 112 2 3 2" xfId="9606" xr:uid="{00000000-0005-0000-0000-000086250000}"/>
    <cellStyle name="Input 112 2 3 2 2" xfId="9607" xr:uid="{00000000-0005-0000-0000-000087250000}"/>
    <cellStyle name="Input 112 2 3 3" xfId="9608" xr:uid="{00000000-0005-0000-0000-000088250000}"/>
    <cellStyle name="Input 112 2 4" xfId="9609" xr:uid="{00000000-0005-0000-0000-000089250000}"/>
    <cellStyle name="Input 112 2 4 2" xfId="9610" xr:uid="{00000000-0005-0000-0000-00008A250000}"/>
    <cellStyle name="Input 112 2 5" xfId="9611" xr:uid="{00000000-0005-0000-0000-00008B250000}"/>
    <cellStyle name="Input 112 3" xfId="9612" xr:uid="{00000000-0005-0000-0000-00008C250000}"/>
    <cellStyle name="Input 112 3 2" xfId="9613" xr:uid="{00000000-0005-0000-0000-00008D250000}"/>
    <cellStyle name="Input 112 3 2 2" xfId="9614" xr:uid="{00000000-0005-0000-0000-00008E250000}"/>
    <cellStyle name="Input 112 3 2 2 2" xfId="9615" xr:uid="{00000000-0005-0000-0000-00008F250000}"/>
    <cellStyle name="Input 112 3 2 3" xfId="9616" xr:uid="{00000000-0005-0000-0000-000090250000}"/>
    <cellStyle name="Input 112 3 3" xfId="9617" xr:uid="{00000000-0005-0000-0000-000091250000}"/>
    <cellStyle name="Input 112 3 3 2" xfId="9618" xr:uid="{00000000-0005-0000-0000-000092250000}"/>
    <cellStyle name="Input 112 3 4" xfId="9619" xr:uid="{00000000-0005-0000-0000-000093250000}"/>
    <cellStyle name="Input 112 4" xfId="9620" xr:uid="{00000000-0005-0000-0000-000094250000}"/>
    <cellStyle name="Input 112 4 2" xfId="9621" xr:uid="{00000000-0005-0000-0000-000095250000}"/>
    <cellStyle name="Input 112 4 2 2" xfId="9622" xr:uid="{00000000-0005-0000-0000-000096250000}"/>
    <cellStyle name="Input 112 4 3" xfId="9623" xr:uid="{00000000-0005-0000-0000-000097250000}"/>
    <cellStyle name="Input 112 5" xfId="9624" xr:uid="{00000000-0005-0000-0000-000098250000}"/>
    <cellStyle name="Input 112 5 2" xfId="9625" xr:uid="{00000000-0005-0000-0000-000099250000}"/>
    <cellStyle name="Input 112 6" xfId="9626" xr:uid="{00000000-0005-0000-0000-00009A250000}"/>
    <cellStyle name="Input 113" xfId="9627" xr:uid="{00000000-0005-0000-0000-00009B250000}"/>
    <cellStyle name="Input 113 2" xfId="9628" xr:uid="{00000000-0005-0000-0000-00009C250000}"/>
    <cellStyle name="Input 113 2 2" xfId="9629" xr:uid="{00000000-0005-0000-0000-00009D250000}"/>
    <cellStyle name="Input 113 2 2 2" xfId="9630" xr:uid="{00000000-0005-0000-0000-00009E250000}"/>
    <cellStyle name="Input 113 2 2 2 2" xfId="9631" xr:uid="{00000000-0005-0000-0000-00009F250000}"/>
    <cellStyle name="Input 113 2 2 2 2 2" xfId="9632" xr:uid="{00000000-0005-0000-0000-0000A0250000}"/>
    <cellStyle name="Input 113 2 2 2 3" xfId="9633" xr:uid="{00000000-0005-0000-0000-0000A1250000}"/>
    <cellStyle name="Input 113 2 2 3" xfId="9634" xr:uid="{00000000-0005-0000-0000-0000A2250000}"/>
    <cellStyle name="Input 113 2 2 3 2" xfId="9635" xr:uid="{00000000-0005-0000-0000-0000A3250000}"/>
    <cellStyle name="Input 113 2 2 4" xfId="9636" xr:uid="{00000000-0005-0000-0000-0000A4250000}"/>
    <cellStyle name="Input 113 2 3" xfId="9637" xr:uid="{00000000-0005-0000-0000-0000A5250000}"/>
    <cellStyle name="Input 113 2 3 2" xfId="9638" xr:uid="{00000000-0005-0000-0000-0000A6250000}"/>
    <cellStyle name="Input 113 2 3 2 2" xfId="9639" xr:uid="{00000000-0005-0000-0000-0000A7250000}"/>
    <cellStyle name="Input 113 2 3 3" xfId="9640" xr:uid="{00000000-0005-0000-0000-0000A8250000}"/>
    <cellStyle name="Input 113 2 4" xfId="9641" xr:uid="{00000000-0005-0000-0000-0000A9250000}"/>
    <cellStyle name="Input 113 2 4 2" xfId="9642" xr:uid="{00000000-0005-0000-0000-0000AA250000}"/>
    <cellStyle name="Input 113 2 5" xfId="9643" xr:uid="{00000000-0005-0000-0000-0000AB250000}"/>
    <cellStyle name="Input 113 3" xfId="9644" xr:uid="{00000000-0005-0000-0000-0000AC250000}"/>
    <cellStyle name="Input 113 3 2" xfId="9645" xr:uid="{00000000-0005-0000-0000-0000AD250000}"/>
    <cellStyle name="Input 113 3 2 2" xfId="9646" xr:uid="{00000000-0005-0000-0000-0000AE250000}"/>
    <cellStyle name="Input 113 3 2 2 2" xfId="9647" xr:uid="{00000000-0005-0000-0000-0000AF250000}"/>
    <cellStyle name="Input 113 3 2 3" xfId="9648" xr:uid="{00000000-0005-0000-0000-0000B0250000}"/>
    <cellStyle name="Input 113 3 3" xfId="9649" xr:uid="{00000000-0005-0000-0000-0000B1250000}"/>
    <cellStyle name="Input 113 3 3 2" xfId="9650" xr:uid="{00000000-0005-0000-0000-0000B2250000}"/>
    <cellStyle name="Input 113 3 4" xfId="9651" xr:uid="{00000000-0005-0000-0000-0000B3250000}"/>
    <cellStyle name="Input 113 4" xfId="9652" xr:uid="{00000000-0005-0000-0000-0000B4250000}"/>
    <cellStyle name="Input 113 4 2" xfId="9653" xr:uid="{00000000-0005-0000-0000-0000B5250000}"/>
    <cellStyle name="Input 113 4 2 2" xfId="9654" xr:uid="{00000000-0005-0000-0000-0000B6250000}"/>
    <cellStyle name="Input 113 4 3" xfId="9655" xr:uid="{00000000-0005-0000-0000-0000B7250000}"/>
    <cellStyle name="Input 113 5" xfId="9656" xr:uid="{00000000-0005-0000-0000-0000B8250000}"/>
    <cellStyle name="Input 113 5 2" xfId="9657" xr:uid="{00000000-0005-0000-0000-0000B9250000}"/>
    <cellStyle name="Input 113 6" xfId="9658" xr:uid="{00000000-0005-0000-0000-0000BA250000}"/>
    <cellStyle name="Input 114" xfId="9659" xr:uid="{00000000-0005-0000-0000-0000BB250000}"/>
    <cellStyle name="Input 114 2" xfId="9660" xr:uid="{00000000-0005-0000-0000-0000BC250000}"/>
    <cellStyle name="Input 114 2 2" xfId="9661" xr:uid="{00000000-0005-0000-0000-0000BD250000}"/>
    <cellStyle name="Input 114 2 2 2" xfId="9662" xr:uid="{00000000-0005-0000-0000-0000BE250000}"/>
    <cellStyle name="Input 114 2 2 2 2" xfId="9663" xr:uid="{00000000-0005-0000-0000-0000BF250000}"/>
    <cellStyle name="Input 114 2 2 3" xfId="9664" xr:uid="{00000000-0005-0000-0000-0000C0250000}"/>
    <cellStyle name="Input 114 2 3" xfId="9665" xr:uid="{00000000-0005-0000-0000-0000C1250000}"/>
    <cellStyle name="Input 114 2 3 2" xfId="9666" xr:uid="{00000000-0005-0000-0000-0000C2250000}"/>
    <cellStyle name="Input 114 2 4" xfId="9667" xr:uid="{00000000-0005-0000-0000-0000C3250000}"/>
    <cellStyle name="Input 114 3" xfId="9668" xr:uid="{00000000-0005-0000-0000-0000C4250000}"/>
    <cellStyle name="Input 114 3 2" xfId="9669" xr:uid="{00000000-0005-0000-0000-0000C5250000}"/>
    <cellStyle name="Input 114 3 2 2" xfId="9670" xr:uid="{00000000-0005-0000-0000-0000C6250000}"/>
    <cellStyle name="Input 114 3 3" xfId="9671" xr:uid="{00000000-0005-0000-0000-0000C7250000}"/>
    <cellStyle name="Input 114 4" xfId="9672" xr:uid="{00000000-0005-0000-0000-0000C8250000}"/>
    <cellStyle name="Input 114 4 2" xfId="9673" xr:uid="{00000000-0005-0000-0000-0000C9250000}"/>
    <cellStyle name="Input 114 5" xfId="9674" xr:uid="{00000000-0005-0000-0000-0000CA250000}"/>
    <cellStyle name="Input 115" xfId="9675" xr:uid="{00000000-0005-0000-0000-0000CB250000}"/>
    <cellStyle name="Input 115 2" xfId="9676" xr:uid="{00000000-0005-0000-0000-0000CC250000}"/>
    <cellStyle name="Input 115 2 2" xfId="9677" xr:uid="{00000000-0005-0000-0000-0000CD250000}"/>
    <cellStyle name="Input 115 2 2 2" xfId="9678" xr:uid="{00000000-0005-0000-0000-0000CE250000}"/>
    <cellStyle name="Input 115 2 2 2 2" xfId="9679" xr:uid="{00000000-0005-0000-0000-0000CF250000}"/>
    <cellStyle name="Input 115 2 2 3" xfId="9680" xr:uid="{00000000-0005-0000-0000-0000D0250000}"/>
    <cellStyle name="Input 115 2 3" xfId="9681" xr:uid="{00000000-0005-0000-0000-0000D1250000}"/>
    <cellStyle name="Input 115 2 3 2" xfId="9682" xr:uid="{00000000-0005-0000-0000-0000D2250000}"/>
    <cellStyle name="Input 115 2 4" xfId="9683" xr:uid="{00000000-0005-0000-0000-0000D3250000}"/>
    <cellStyle name="Input 115 3" xfId="9684" xr:uid="{00000000-0005-0000-0000-0000D4250000}"/>
    <cellStyle name="Input 115 3 2" xfId="9685" xr:uid="{00000000-0005-0000-0000-0000D5250000}"/>
    <cellStyle name="Input 115 3 2 2" xfId="9686" xr:uid="{00000000-0005-0000-0000-0000D6250000}"/>
    <cellStyle name="Input 115 3 3" xfId="9687" xr:uid="{00000000-0005-0000-0000-0000D7250000}"/>
    <cellStyle name="Input 115 4" xfId="9688" xr:uid="{00000000-0005-0000-0000-0000D8250000}"/>
    <cellStyle name="Input 115 4 2" xfId="9689" xr:uid="{00000000-0005-0000-0000-0000D9250000}"/>
    <cellStyle name="Input 115 5" xfId="9690" xr:uid="{00000000-0005-0000-0000-0000DA250000}"/>
    <cellStyle name="Input 116" xfId="9691" xr:uid="{00000000-0005-0000-0000-0000DB250000}"/>
    <cellStyle name="Input 116 2" xfId="9692" xr:uid="{00000000-0005-0000-0000-0000DC250000}"/>
    <cellStyle name="Input 116 2 2" xfId="9693" xr:uid="{00000000-0005-0000-0000-0000DD250000}"/>
    <cellStyle name="Input 116 2 2 2" xfId="9694" xr:uid="{00000000-0005-0000-0000-0000DE250000}"/>
    <cellStyle name="Input 116 2 2 2 2" xfId="9695" xr:uid="{00000000-0005-0000-0000-0000DF250000}"/>
    <cellStyle name="Input 116 2 2 3" xfId="9696" xr:uid="{00000000-0005-0000-0000-0000E0250000}"/>
    <cellStyle name="Input 116 2 3" xfId="9697" xr:uid="{00000000-0005-0000-0000-0000E1250000}"/>
    <cellStyle name="Input 116 2 3 2" xfId="9698" xr:uid="{00000000-0005-0000-0000-0000E2250000}"/>
    <cellStyle name="Input 116 2 4" xfId="9699" xr:uid="{00000000-0005-0000-0000-0000E3250000}"/>
    <cellStyle name="Input 116 3" xfId="9700" xr:uid="{00000000-0005-0000-0000-0000E4250000}"/>
    <cellStyle name="Input 116 3 2" xfId="9701" xr:uid="{00000000-0005-0000-0000-0000E5250000}"/>
    <cellStyle name="Input 116 3 2 2" xfId="9702" xr:uid="{00000000-0005-0000-0000-0000E6250000}"/>
    <cellStyle name="Input 116 3 3" xfId="9703" xr:uid="{00000000-0005-0000-0000-0000E7250000}"/>
    <cellStyle name="Input 116 4" xfId="9704" xr:uid="{00000000-0005-0000-0000-0000E8250000}"/>
    <cellStyle name="Input 116 4 2" xfId="9705" xr:uid="{00000000-0005-0000-0000-0000E9250000}"/>
    <cellStyle name="Input 116 5" xfId="9706" xr:uid="{00000000-0005-0000-0000-0000EA250000}"/>
    <cellStyle name="Input 117" xfId="9707" xr:uid="{00000000-0005-0000-0000-0000EB250000}"/>
    <cellStyle name="Input 117 2" xfId="9708" xr:uid="{00000000-0005-0000-0000-0000EC250000}"/>
    <cellStyle name="Input 117 2 2" xfId="9709" xr:uid="{00000000-0005-0000-0000-0000ED250000}"/>
    <cellStyle name="Input 117 2 2 2" xfId="9710" xr:uid="{00000000-0005-0000-0000-0000EE250000}"/>
    <cellStyle name="Input 117 2 2 2 2" xfId="9711" xr:uid="{00000000-0005-0000-0000-0000EF250000}"/>
    <cellStyle name="Input 117 2 2 3" xfId="9712" xr:uid="{00000000-0005-0000-0000-0000F0250000}"/>
    <cellStyle name="Input 117 2 3" xfId="9713" xr:uid="{00000000-0005-0000-0000-0000F1250000}"/>
    <cellStyle name="Input 117 2 3 2" xfId="9714" xr:uid="{00000000-0005-0000-0000-0000F2250000}"/>
    <cellStyle name="Input 117 2 4" xfId="9715" xr:uid="{00000000-0005-0000-0000-0000F3250000}"/>
    <cellStyle name="Input 117 3" xfId="9716" xr:uid="{00000000-0005-0000-0000-0000F4250000}"/>
    <cellStyle name="Input 117 3 2" xfId="9717" xr:uid="{00000000-0005-0000-0000-0000F5250000}"/>
    <cellStyle name="Input 117 3 2 2" xfId="9718" xr:uid="{00000000-0005-0000-0000-0000F6250000}"/>
    <cellStyle name="Input 117 3 3" xfId="9719" xr:uid="{00000000-0005-0000-0000-0000F7250000}"/>
    <cellStyle name="Input 117 4" xfId="9720" xr:uid="{00000000-0005-0000-0000-0000F8250000}"/>
    <cellStyle name="Input 117 4 2" xfId="9721" xr:uid="{00000000-0005-0000-0000-0000F9250000}"/>
    <cellStyle name="Input 117 5" xfId="9722" xr:uid="{00000000-0005-0000-0000-0000FA250000}"/>
    <cellStyle name="Input 118" xfId="9723" xr:uid="{00000000-0005-0000-0000-0000FB250000}"/>
    <cellStyle name="Input 118 2" xfId="9724" xr:uid="{00000000-0005-0000-0000-0000FC250000}"/>
    <cellStyle name="Input 118 2 2" xfId="9725" xr:uid="{00000000-0005-0000-0000-0000FD250000}"/>
    <cellStyle name="Input 118 3" xfId="9726" xr:uid="{00000000-0005-0000-0000-0000FE250000}"/>
    <cellStyle name="Input 119" xfId="9727" xr:uid="{00000000-0005-0000-0000-0000FF250000}"/>
    <cellStyle name="Input 119 2" xfId="9728" xr:uid="{00000000-0005-0000-0000-000000260000}"/>
    <cellStyle name="Input 119 3" xfId="9729" xr:uid="{00000000-0005-0000-0000-000001260000}"/>
    <cellStyle name="Input 12" xfId="9730" xr:uid="{00000000-0005-0000-0000-000002260000}"/>
    <cellStyle name="Input 12 2" xfId="9731" xr:uid="{00000000-0005-0000-0000-000003260000}"/>
    <cellStyle name="Input 12 2 2" xfId="9732" xr:uid="{00000000-0005-0000-0000-000004260000}"/>
    <cellStyle name="Input 12 2 2 2" xfId="9733" xr:uid="{00000000-0005-0000-0000-000005260000}"/>
    <cellStyle name="Input 12 2 3" xfId="9734" xr:uid="{00000000-0005-0000-0000-000006260000}"/>
    <cellStyle name="Input 12 3" xfId="9735" xr:uid="{00000000-0005-0000-0000-000007260000}"/>
    <cellStyle name="Input 12 3 2" xfId="9736" xr:uid="{00000000-0005-0000-0000-000008260000}"/>
    <cellStyle name="Input 12 4" xfId="9737" xr:uid="{00000000-0005-0000-0000-000009260000}"/>
    <cellStyle name="Input 120" xfId="9738" xr:uid="{00000000-0005-0000-0000-00000A260000}"/>
    <cellStyle name="Input 120 2" xfId="9739" xr:uid="{00000000-0005-0000-0000-00000B260000}"/>
    <cellStyle name="Input 120 3" xfId="9740" xr:uid="{00000000-0005-0000-0000-00000C260000}"/>
    <cellStyle name="Input 121" xfId="9741" xr:uid="{00000000-0005-0000-0000-00000D260000}"/>
    <cellStyle name="Input 121 2" xfId="9742" xr:uid="{00000000-0005-0000-0000-00000E260000}"/>
    <cellStyle name="Input 122" xfId="9743" xr:uid="{00000000-0005-0000-0000-00000F260000}"/>
    <cellStyle name="Input 122 2" xfId="9744" xr:uid="{00000000-0005-0000-0000-000010260000}"/>
    <cellStyle name="Input 122 3" xfId="9745" xr:uid="{00000000-0005-0000-0000-000011260000}"/>
    <cellStyle name="Input 123" xfId="9746" xr:uid="{00000000-0005-0000-0000-000012260000}"/>
    <cellStyle name="Input 123 2" xfId="9747" xr:uid="{00000000-0005-0000-0000-000013260000}"/>
    <cellStyle name="Input 124" xfId="9748" xr:uid="{00000000-0005-0000-0000-000014260000}"/>
    <cellStyle name="Input 124 2" xfId="9749" xr:uid="{00000000-0005-0000-0000-000015260000}"/>
    <cellStyle name="Input 125" xfId="9750" xr:uid="{00000000-0005-0000-0000-000016260000}"/>
    <cellStyle name="Input 125 2" xfId="9751" xr:uid="{00000000-0005-0000-0000-000017260000}"/>
    <cellStyle name="Input 126" xfId="9752" xr:uid="{00000000-0005-0000-0000-000018260000}"/>
    <cellStyle name="Input 127" xfId="9753" xr:uid="{00000000-0005-0000-0000-000019260000}"/>
    <cellStyle name="Input 128" xfId="9754" xr:uid="{00000000-0005-0000-0000-00001A260000}"/>
    <cellStyle name="Input 129" xfId="9755" xr:uid="{00000000-0005-0000-0000-00001B260000}"/>
    <cellStyle name="Input 13" xfId="9756" xr:uid="{00000000-0005-0000-0000-00001C260000}"/>
    <cellStyle name="Input 13 2" xfId="9757" xr:uid="{00000000-0005-0000-0000-00001D260000}"/>
    <cellStyle name="Input 13 2 2" xfId="9758" xr:uid="{00000000-0005-0000-0000-00001E260000}"/>
    <cellStyle name="Input 13 2 2 2" xfId="9759" xr:uid="{00000000-0005-0000-0000-00001F260000}"/>
    <cellStyle name="Input 13 2 3" xfId="9760" xr:uid="{00000000-0005-0000-0000-000020260000}"/>
    <cellStyle name="Input 13 3" xfId="9761" xr:uid="{00000000-0005-0000-0000-000021260000}"/>
    <cellStyle name="Input 13 3 2" xfId="9762" xr:uid="{00000000-0005-0000-0000-000022260000}"/>
    <cellStyle name="Input 13 4" xfId="9763" xr:uid="{00000000-0005-0000-0000-000023260000}"/>
    <cellStyle name="Input 130" xfId="9764" xr:uid="{00000000-0005-0000-0000-000024260000}"/>
    <cellStyle name="Input 131" xfId="9765" xr:uid="{00000000-0005-0000-0000-000025260000}"/>
    <cellStyle name="Input 132" xfId="9766" xr:uid="{00000000-0005-0000-0000-000026260000}"/>
    <cellStyle name="Input 133" xfId="9767" xr:uid="{00000000-0005-0000-0000-000027260000}"/>
    <cellStyle name="Input 134" xfId="9768" xr:uid="{00000000-0005-0000-0000-000028260000}"/>
    <cellStyle name="Input 135" xfId="9769" xr:uid="{00000000-0005-0000-0000-000029260000}"/>
    <cellStyle name="Input 136" xfId="9770" xr:uid="{00000000-0005-0000-0000-00002A260000}"/>
    <cellStyle name="Input 137" xfId="9771" xr:uid="{00000000-0005-0000-0000-00002B260000}"/>
    <cellStyle name="Input 138" xfId="9772" xr:uid="{00000000-0005-0000-0000-00002C260000}"/>
    <cellStyle name="Input 139" xfId="9773" xr:uid="{00000000-0005-0000-0000-00002D260000}"/>
    <cellStyle name="Input 14" xfId="9774" xr:uid="{00000000-0005-0000-0000-00002E260000}"/>
    <cellStyle name="Input 14 2" xfId="9775" xr:uid="{00000000-0005-0000-0000-00002F260000}"/>
    <cellStyle name="Input 14 2 2" xfId="9776" xr:uid="{00000000-0005-0000-0000-000030260000}"/>
    <cellStyle name="Input 14 2 2 2" xfId="9777" xr:uid="{00000000-0005-0000-0000-000031260000}"/>
    <cellStyle name="Input 14 2 3" xfId="9778" xr:uid="{00000000-0005-0000-0000-000032260000}"/>
    <cellStyle name="Input 14 3" xfId="9779" xr:uid="{00000000-0005-0000-0000-000033260000}"/>
    <cellStyle name="Input 14 3 2" xfId="9780" xr:uid="{00000000-0005-0000-0000-000034260000}"/>
    <cellStyle name="Input 14 4" xfId="9781" xr:uid="{00000000-0005-0000-0000-000035260000}"/>
    <cellStyle name="Input 140" xfId="9782" xr:uid="{00000000-0005-0000-0000-000036260000}"/>
    <cellStyle name="Input 141" xfId="9783" xr:uid="{00000000-0005-0000-0000-000037260000}"/>
    <cellStyle name="Input 142" xfId="9784" xr:uid="{00000000-0005-0000-0000-000038260000}"/>
    <cellStyle name="Input 143" xfId="9785" xr:uid="{00000000-0005-0000-0000-000039260000}"/>
    <cellStyle name="Input 144" xfId="9786" xr:uid="{00000000-0005-0000-0000-00003A260000}"/>
    <cellStyle name="Input 145" xfId="9787" xr:uid="{00000000-0005-0000-0000-00003B260000}"/>
    <cellStyle name="Input 146" xfId="9788" xr:uid="{00000000-0005-0000-0000-00003C260000}"/>
    <cellStyle name="Input 147" xfId="9789" xr:uid="{00000000-0005-0000-0000-00003D260000}"/>
    <cellStyle name="Input 148" xfId="9790" xr:uid="{00000000-0005-0000-0000-00003E260000}"/>
    <cellStyle name="Input 149" xfId="9791" xr:uid="{00000000-0005-0000-0000-00003F260000}"/>
    <cellStyle name="Input 15" xfId="9792" xr:uid="{00000000-0005-0000-0000-000040260000}"/>
    <cellStyle name="Input 15 2" xfId="9793" xr:uid="{00000000-0005-0000-0000-000041260000}"/>
    <cellStyle name="Input 15 2 2" xfId="9794" xr:uid="{00000000-0005-0000-0000-000042260000}"/>
    <cellStyle name="Input 15 2 2 2" xfId="9795" xr:uid="{00000000-0005-0000-0000-000043260000}"/>
    <cellStyle name="Input 15 2 3" xfId="9796" xr:uid="{00000000-0005-0000-0000-000044260000}"/>
    <cellStyle name="Input 15 3" xfId="9797" xr:uid="{00000000-0005-0000-0000-000045260000}"/>
    <cellStyle name="Input 15 3 2" xfId="9798" xr:uid="{00000000-0005-0000-0000-000046260000}"/>
    <cellStyle name="Input 15 4" xfId="9799" xr:uid="{00000000-0005-0000-0000-000047260000}"/>
    <cellStyle name="Input 150" xfId="9800" xr:uid="{00000000-0005-0000-0000-000048260000}"/>
    <cellStyle name="Input 151" xfId="9801" xr:uid="{00000000-0005-0000-0000-000049260000}"/>
    <cellStyle name="Input 152" xfId="9802" xr:uid="{00000000-0005-0000-0000-00004A260000}"/>
    <cellStyle name="Input 153" xfId="9803" xr:uid="{00000000-0005-0000-0000-00004B260000}"/>
    <cellStyle name="Input 154" xfId="9804" xr:uid="{00000000-0005-0000-0000-00004C260000}"/>
    <cellStyle name="Input 155" xfId="9805" xr:uid="{00000000-0005-0000-0000-00004D260000}"/>
    <cellStyle name="Input 156" xfId="9806" xr:uid="{00000000-0005-0000-0000-00004E260000}"/>
    <cellStyle name="Input 157" xfId="9807" xr:uid="{00000000-0005-0000-0000-00004F260000}"/>
    <cellStyle name="Input 158" xfId="9808" xr:uid="{00000000-0005-0000-0000-000050260000}"/>
    <cellStyle name="Input 159" xfId="9809" xr:uid="{00000000-0005-0000-0000-000051260000}"/>
    <cellStyle name="Input 16" xfId="9810" xr:uid="{00000000-0005-0000-0000-000052260000}"/>
    <cellStyle name="Input 16 2" xfId="9811" xr:uid="{00000000-0005-0000-0000-000053260000}"/>
    <cellStyle name="Input 16 2 2" xfId="9812" xr:uid="{00000000-0005-0000-0000-000054260000}"/>
    <cellStyle name="Input 16 2 2 2" xfId="9813" xr:uid="{00000000-0005-0000-0000-000055260000}"/>
    <cellStyle name="Input 16 2 3" xfId="9814" xr:uid="{00000000-0005-0000-0000-000056260000}"/>
    <cellStyle name="Input 16 3" xfId="9815" xr:uid="{00000000-0005-0000-0000-000057260000}"/>
    <cellStyle name="Input 16 3 2" xfId="9816" xr:uid="{00000000-0005-0000-0000-000058260000}"/>
    <cellStyle name="Input 16 4" xfId="9817" xr:uid="{00000000-0005-0000-0000-000059260000}"/>
    <cellStyle name="Input 160" xfId="9818" xr:uid="{00000000-0005-0000-0000-00005A260000}"/>
    <cellStyle name="Input 161" xfId="9819" xr:uid="{00000000-0005-0000-0000-00005B260000}"/>
    <cellStyle name="Input 162" xfId="9820" xr:uid="{00000000-0005-0000-0000-00005C260000}"/>
    <cellStyle name="Input 163" xfId="9821" xr:uid="{00000000-0005-0000-0000-00005D260000}"/>
    <cellStyle name="Input 164" xfId="9822" xr:uid="{00000000-0005-0000-0000-00005E260000}"/>
    <cellStyle name="Input 165" xfId="9823" xr:uid="{00000000-0005-0000-0000-00005F260000}"/>
    <cellStyle name="Input 166" xfId="9824" xr:uid="{00000000-0005-0000-0000-000060260000}"/>
    <cellStyle name="Input 167" xfId="9825" xr:uid="{00000000-0005-0000-0000-000061260000}"/>
    <cellStyle name="Input 168" xfId="9826" xr:uid="{00000000-0005-0000-0000-000062260000}"/>
    <cellStyle name="Input 169" xfId="9827" xr:uid="{00000000-0005-0000-0000-000063260000}"/>
    <cellStyle name="Input 17" xfId="9828" xr:uid="{00000000-0005-0000-0000-000064260000}"/>
    <cellStyle name="Input 17 2" xfId="9829" xr:uid="{00000000-0005-0000-0000-000065260000}"/>
    <cellStyle name="Input 17 2 2" xfId="9830" xr:uid="{00000000-0005-0000-0000-000066260000}"/>
    <cellStyle name="Input 17 2 2 2" xfId="9831" xr:uid="{00000000-0005-0000-0000-000067260000}"/>
    <cellStyle name="Input 17 2 3" xfId="9832" xr:uid="{00000000-0005-0000-0000-000068260000}"/>
    <cellStyle name="Input 17 3" xfId="9833" xr:uid="{00000000-0005-0000-0000-000069260000}"/>
    <cellStyle name="Input 17 3 2" xfId="9834" xr:uid="{00000000-0005-0000-0000-00006A260000}"/>
    <cellStyle name="Input 17 4" xfId="9835" xr:uid="{00000000-0005-0000-0000-00006B260000}"/>
    <cellStyle name="Input 170" xfId="9836" xr:uid="{00000000-0005-0000-0000-00006C260000}"/>
    <cellStyle name="Input 171" xfId="9837" xr:uid="{00000000-0005-0000-0000-00006D260000}"/>
    <cellStyle name="Input 172" xfId="9838" xr:uid="{00000000-0005-0000-0000-00006E260000}"/>
    <cellStyle name="Input 173" xfId="9839" xr:uid="{00000000-0005-0000-0000-00006F260000}"/>
    <cellStyle name="Input 174" xfId="9840" xr:uid="{00000000-0005-0000-0000-000070260000}"/>
    <cellStyle name="Input 175" xfId="9841" xr:uid="{00000000-0005-0000-0000-000071260000}"/>
    <cellStyle name="Input 176" xfId="9842" xr:uid="{00000000-0005-0000-0000-000072260000}"/>
    <cellStyle name="Input 177" xfId="9843" xr:uid="{00000000-0005-0000-0000-000073260000}"/>
    <cellStyle name="Input 178" xfId="9844" xr:uid="{00000000-0005-0000-0000-000074260000}"/>
    <cellStyle name="Input 179" xfId="9845" xr:uid="{00000000-0005-0000-0000-000075260000}"/>
    <cellStyle name="Input 18" xfId="9846" xr:uid="{00000000-0005-0000-0000-000076260000}"/>
    <cellStyle name="Input 18 2" xfId="9847" xr:uid="{00000000-0005-0000-0000-000077260000}"/>
    <cellStyle name="Input 18 2 2" xfId="9848" xr:uid="{00000000-0005-0000-0000-000078260000}"/>
    <cellStyle name="Input 18 2 2 2" xfId="9849" xr:uid="{00000000-0005-0000-0000-000079260000}"/>
    <cellStyle name="Input 18 2 3" xfId="9850" xr:uid="{00000000-0005-0000-0000-00007A260000}"/>
    <cellStyle name="Input 18 3" xfId="9851" xr:uid="{00000000-0005-0000-0000-00007B260000}"/>
    <cellStyle name="Input 18 3 2" xfId="9852" xr:uid="{00000000-0005-0000-0000-00007C260000}"/>
    <cellStyle name="Input 18 4" xfId="9853" xr:uid="{00000000-0005-0000-0000-00007D260000}"/>
    <cellStyle name="Input 19" xfId="9854" xr:uid="{00000000-0005-0000-0000-00007E260000}"/>
    <cellStyle name="Input 19 2" xfId="9855" xr:uid="{00000000-0005-0000-0000-00007F260000}"/>
    <cellStyle name="Input 19 2 2" xfId="9856" xr:uid="{00000000-0005-0000-0000-000080260000}"/>
    <cellStyle name="Input 19 2 2 2" xfId="9857" xr:uid="{00000000-0005-0000-0000-000081260000}"/>
    <cellStyle name="Input 19 2 3" xfId="9858" xr:uid="{00000000-0005-0000-0000-000082260000}"/>
    <cellStyle name="Input 19 3" xfId="9859" xr:uid="{00000000-0005-0000-0000-000083260000}"/>
    <cellStyle name="Input 19 3 2" xfId="9860" xr:uid="{00000000-0005-0000-0000-000084260000}"/>
    <cellStyle name="Input 19 4" xfId="9861" xr:uid="{00000000-0005-0000-0000-000085260000}"/>
    <cellStyle name="Input 2" xfId="9862" xr:uid="{00000000-0005-0000-0000-000086260000}"/>
    <cellStyle name="Input 2 10" xfId="9863" xr:uid="{00000000-0005-0000-0000-000087260000}"/>
    <cellStyle name="Input 2 10 2" xfId="9864" xr:uid="{00000000-0005-0000-0000-000088260000}"/>
    <cellStyle name="Input 2 10 3" xfId="9865" xr:uid="{00000000-0005-0000-0000-000089260000}"/>
    <cellStyle name="Input 2 11" xfId="9866" xr:uid="{00000000-0005-0000-0000-00008A260000}"/>
    <cellStyle name="Input 2 11 2" xfId="9867" xr:uid="{00000000-0005-0000-0000-00008B260000}"/>
    <cellStyle name="Input 2 12" xfId="9868" xr:uid="{00000000-0005-0000-0000-00008C260000}"/>
    <cellStyle name="Input 2 13" xfId="9869" xr:uid="{00000000-0005-0000-0000-00008D260000}"/>
    <cellStyle name="Input 2 2" xfId="9870" xr:uid="{00000000-0005-0000-0000-00008E260000}"/>
    <cellStyle name="Input 2 2 2" xfId="9871" xr:uid="{00000000-0005-0000-0000-00008F260000}"/>
    <cellStyle name="Input 2 2 2 2" xfId="9872" xr:uid="{00000000-0005-0000-0000-000090260000}"/>
    <cellStyle name="Input 2 2 3" xfId="9873" xr:uid="{00000000-0005-0000-0000-000091260000}"/>
    <cellStyle name="Input 2 2 3 2" xfId="9874" xr:uid="{00000000-0005-0000-0000-000092260000}"/>
    <cellStyle name="Input 2 2 3 2 2" xfId="9875" xr:uid="{00000000-0005-0000-0000-000093260000}"/>
    <cellStyle name="Input 2 2 3 3" xfId="9876" xr:uid="{00000000-0005-0000-0000-000094260000}"/>
    <cellStyle name="Input 2 2 4" xfId="9877" xr:uid="{00000000-0005-0000-0000-000095260000}"/>
    <cellStyle name="Input 2 3" xfId="9878" xr:uid="{00000000-0005-0000-0000-000096260000}"/>
    <cellStyle name="Input 2 3 2" xfId="9879" xr:uid="{00000000-0005-0000-0000-000097260000}"/>
    <cellStyle name="Input 2 3 2 2" xfId="9880" xr:uid="{00000000-0005-0000-0000-000098260000}"/>
    <cellStyle name="Input 2 3 2 2 2" xfId="9881" xr:uid="{00000000-0005-0000-0000-000099260000}"/>
    <cellStyle name="Input 2 3 2 3" xfId="9882" xr:uid="{00000000-0005-0000-0000-00009A260000}"/>
    <cellStyle name="Input 2 3 3" xfId="9883" xr:uid="{00000000-0005-0000-0000-00009B260000}"/>
    <cellStyle name="Input 2 3 3 2" xfId="9884" xr:uid="{00000000-0005-0000-0000-00009C260000}"/>
    <cellStyle name="Input 2 3 3 2 2" xfId="9885" xr:uid="{00000000-0005-0000-0000-00009D260000}"/>
    <cellStyle name="Input 2 3 3 2 2 2" xfId="9886" xr:uid="{00000000-0005-0000-0000-00009E260000}"/>
    <cellStyle name="Input 2 3 3 2 3" xfId="9887" xr:uid="{00000000-0005-0000-0000-00009F260000}"/>
    <cellStyle name="Input 2 3 3 3" xfId="9888" xr:uid="{00000000-0005-0000-0000-0000A0260000}"/>
    <cellStyle name="Input 2 3 3 3 2" xfId="9889" xr:uid="{00000000-0005-0000-0000-0000A1260000}"/>
    <cellStyle name="Input 2 3 3 4" xfId="9890" xr:uid="{00000000-0005-0000-0000-0000A2260000}"/>
    <cellStyle name="Input 2 3 4" xfId="9891" xr:uid="{00000000-0005-0000-0000-0000A3260000}"/>
    <cellStyle name="Input 2 3 4 2" xfId="9892" xr:uid="{00000000-0005-0000-0000-0000A4260000}"/>
    <cellStyle name="Input 2 3 5" xfId="9893" xr:uid="{00000000-0005-0000-0000-0000A5260000}"/>
    <cellStyle name="Input 2 4" xfId="9894" xr:uid="{00000000-0005-0000-0000-0000A6260000}"/>
    <cellStyle name="Input 2 4 2" xfId="9895" xr:uid="{00000000-0005-0000-0000-0000A7260000}"/>
    <cellStyle name="Input 2 4 2 2" xfId="9896" xr:uid="{00000000-0005-0000-0000-0000A8260000}"/>
    <cellStyle name="Input 2 4 2 2 2" xfId="9897" xr:uid="{00000000-0005-0000-0000-0000A9260000}"/>
    <cellStyle name="Input 2 4 2 3" xfId="9898" xr:uid="{00000000-0005-0000-0000-0000AA260000}"/>
    <cellStyle name="Input 2 4 3" xfId="9899" xr:uid="{00000000-0005-0000-0000-0000AB260000}"/>
    <cellStyle name="Input 2 4 3 2" xfId="9900" xr:uid="{00000000-0005-0000-0000-0000AC260000}"/>
    <cellStyle name="Input 2 4 4" xfId="9901" xr:uid="{00000000-0005-0000-0000-0000AD260000}"/>
    <cellStyle name="Input 2 5" xfId="9902" xr:uid="{00000000-0005-0000-0000-0000AE260000}"/>
    <cellStyle name="Input 2 5 2" xfId="9903" xr:uid="{00000000-0005-0000-0000-0000AF260000}"/>
    <cellStyle name="Input 2 5 2 2" xfId="9904" xr:uid="{00000000-0005-0000-0000-0000B0260000}"/>
    <cellStyle name="Input 2 5 3" xfId="9905" xr:uid="{00000000-0005-0000-0000-0000B1260000}"/>
    <cellStyle name="Input 2 5 3 2" xfId="9906" xr:uid="{00000000-0005-0000-0000-0000B2260000}"/>
    <cellStyle name="Input 2 5 3 2 2" xfId="9907" xr:uid="{00000000-0005-0000-0000-0000B3260000}"/>
    <cellStyle name="Input 2 5 3 3" xfId="9908" xr:uid="{00000000-0005-0000-0000-0000B4260000}"/>
    <cellStyle name="Input 2 5 4" xfId="9909" xr:uid="{00000000-0005-0000-0000-0000B5260000}"/>
    <cellStyle name="Input 2 6" xfId="9910" xr:uid="{00000000-0005-0000-0000-0000B6260000}"/>
    <cellStyle name="Input 2 6 2" xfId="9911" xr:uid="{00000000-0005-0000-0000-0000B7260000}"/>
    <cellStyle name="Input 2 6 2 2" xfId="9912" xr:uid="{00000000-0005-0000-0000-0000B8260000}"/>
    <cellStyle name="Input 2 6 2 2 2" xfId="9913" xr:uid="{00000000-0005-0000-0000-0000B9260000}"/>
    <cellStyle name="Input 2 6 2 3" xfId="9914" xr:uid="{00000000-0005-0000-0000-0000BA260000}"/>
    <cellStyle name="Input 2 6 3" xfId="9915" xr:uid="{00000000-0005-0000-0000-0000BB260000}"/>
    <cellStyle name="Input 2 6 3 2" xfId="9916" xr:uid="{00000000-0005-0000-0000-0000BC260000}"/>
    <cellStyle name="Input 2 6 3 2 2" xfId="9917" xr:uid="{00000000-0005-0000-0000-0000BD260000}"/>
    <cellStyle name="Input 2 6 3 2 2 2" xfId="9918" xr:uid="{00000000-0005-0000-0000-0000BE260000}"/>
    <cellStyle name="Input 2 6 3 2 2 2 2" xfId="9919" xr:uid="{00000000-0005-0000-0000-0000BF260000}"/>
    <cellStyle name="Input 2 6 3 2 2 3" xfId="9920" xr:uid="{00000000-0005-0000-0000-0000C0260000}"/>
    <cellStyle name="Input 2 6 3 2 3" xfId="9921" xr:uid="{00000000-0005-0000-0000-0000C1260000}"/>
    <cellStyle name="Input 2 6 3 2 3 2" xfId="9922" xr:uid="{00000000-0005-0000-0000-0000C2260000}"/>
    <cellStyle name="Input 2 6 3 2 4" xfId="9923" xr:uid="{00000000-0005-0000-0000-0000C3260000}"/>
    <cellStyle name="Input 2 6 3 3" xfId="9924" xr:uid="{00000000-0005-0000-0000-0000C4260000}"/>
    <cellStyle name="Input 2 6 3 3 2" xfId="9925" xr:uid="{00000000-0005-0000-0000-0000C5260000}"/>
    <cellStyle name="Input 2 6 3 3 2 2" xfId="9926" xr:uid="{00000000-0005-0000-0000-0000C6260000}"/>
    <cellStyle name="Input 2 6 3 3 3" xfId="9927" xr:uid="{00000000-0005-0000-0000-0000C7260000}"/>
    <cellStyle name="Input 2 6 3 4" xfId="9928" xr:uid="{00000000-0005-0000-0000-0000C8260000}"/>
    <cellStyle name="Input 2 6 3 4 2" xfId="9929" xr:uid="{00000000-0005-0000-0000-0000C9260000}"/>
    <cellStyle name="Input 2 6 3 5" xfId="9930" xr:uid="{00000000-0005-0000-0000-0000CA260000}"/>
    <cellStyle name="Input 2 6 4" xfId="9931" xr:uid="{00000000-0005-0000-0000-0000CB260000}"/>
    <cellStyle name="Input 2 6 4 2" xfId="9932" xr:uid="{00000000-0005-0000-0000-0000CC260000}"/>
    <cellStyle name="Input 2 6 4 2 2" xfId="9933" xr:uid="{00000000-0005-0000-0000-0000CD260000}"/>
    <cellStyle name="Input 2 6 4 2 2 2" xfId="9934" xr:uid="{00000000-0005-0000-0000-0000CE260000}"/>
    <cellStyle name="Input 2 6 4 2 3" xfId="9935" xr:uid="{00000000-0005-0000-0000-0000CF260000}"/>
    <cellStyle name="Input 2 6 4 3" xfId="9936" xr:uid="{00000000-0005-0000-0000-0000D0260000}"/>
    <cellStyle name="Input 2 6 4 3 2" xfId="9937" xr:uid="{00000000-0005-0000-0000-0000D1260000}"/>
    <cellStyle name="Input 2 6 4 4" xfId="9938" xr:uid="{00000000-0005-0000-0000-0000D2260000}"/>
    <cellStyle name="Input 2 6 5" xfId="9939" xr:uid="{00000000-0005-0000-0000-0000D3260000}"/>
    <cellStyle name="Input 2 6 5 2" xfId="9940" xr:uid="{00000000-0005-0000-0000-0000D4260000}"/>
    <cellStyle name="Input 2 6 5 2 2" xfId="9941" xr:uid="{00000000-0005-0000-0000-0000D5260000}"/>
    <cellStyle name="Input 2 6 5 3" xfId="9942" xr:uid="{00000000-0005-0000-0000-0000D6260000}"/>
    <cellStyle name="Input 2 6 6" xfId="9943" xr:uid="{00000000-0005-0000-0000-0000D7260000}"/>
    <cellStyle name="Input 2 6 6 2" xfId="9944" xr:uid="{00000000-0005-0000-0000-0000D8260000}"/>
    <cellStyle name="Input 2 6 7" xfId="9945" xr:uid="{00000000-0005-0000-0000-0000D9260000}"/>
    <cellStyle name="Input 2 7" xfId="9946" xr:uid="{00000000-0005-0000-0000-0000DA260000}"/>
    <cellStyle name="Input 2 7 2" xfId="9947" xr:uid="{00000000-0005-0000-0000-0000DB260000}"/>
    <cellStyle name="Input 2 7 2 2" xfId="9948" xr:uid="{00000000-0005-0000-0000-0000DC260000}"/>
    <cellStyle name="Input 2 7 3" xfId="9949" xr:uid="{00000000-0005-0000-0000-0000DD260000}"/>
    <cellStyle name="Input 2 8" xfId="9950" xr:uid="{00000000-0005-0000-0000-0000DE260000}"/>
    <cellStyle name="Input 2 8 2" xfId="9951" xr:uid="{00000000-0005-0000-0000-0000DF260000}"/>
    <cellStyle name="Input 2 8 2 2" xfId="9952" xr:uid="{00000000-0005-0000-0000-0000E0260000}"/>
    <cellStyle name="Input 2 8 2 2 2" xfId="9953" xr:uid="{00000000-0005-0000-0000-0000E1260000}"/>
    <cellStyle name="Input 2 8 2 3" xfId="9954" xr:uid="{00000000-0005-0000-0000-0000E2260000}"/>
    <cellStyle name="Input 2 8 3" xfId="9955" xr:uid="{00000000-0005-0000-0000-0000E3260000}"/>
    <cellStyle name="Input 2 8 3 2" xfId="9956" xr:uid="{00000000-0005-0000-0000-0000E4260000}"/>
    <cellStyle name="Input 2 8 4" xfId="9957" xr:uid="{00000000-0005-0000-0000-0000E5260000}"/>
    <cellStyle name="Input 2 9" xfId="9958" xr:uid="{00000000-0005-0000-0000-0000E6260000}"/>
    <cellStyle name="Input 2 9 2" xfId="9959" xr:uid="{00000000-0005-0000-0000-0000E7260000}"/>
    <cellStyle name="Input 2 9 2 2" xfId="9960" xr:uid="{00000000-0005-0000-0000-0000E8260000}"/>
    <cellStyle name="Input 2 9 2 2 2" xfId="9961" xr:uid="{00000000-0005-0000-0000-0000E9260000}"/>
    <cellStyle name="Input 2 9 2 3" xfId="9962" xr:uid="{00000000-0005-0000-0000-0000EA260000}"/>
    <cellStyle name="Input 2 9 3" xfId="9963" xr:uid="{00000000-0005-0000-0000-0000EB260000}"/>
    <cellStyle name="Input 2 9 3 2" xfId="9964" xr:uid="{00000000-0005-0000-0000-0000EC260000}"/>
    <cellStyle name="Input 2 9 4" xfId="9965" xr:uid="{00000000-0005-0000-0000-0000ED260000}"/>
    <cellStyle name="Input 20" xfId="9966" xr:uid="{00000000-0005-0000-0000-0000EE260000}"/>
    <cellStyle name="Input 20 2" xfId="9967" xr:uid="{00000000-0005-0000-0000-0000EF260000}"/>
    <cellStyle name="Input 20 2 2" xfId="9968" xr:uid="{00000000-0005-0000-0000-0000F0260000}"/>
    <cellStyle name="Input 20 2 2 2" xfId="9969" xr:uid="{00000000-0005-0000-0000-0000F1260000}"/>
    <cellStyle name="Input 20 2 3" xfId="9970" xr:uid="{00000000-0005-0000-0000-0000F2260000}"/>
    <cellStyle name="Input 20 3" xfId="9971" xr:uid="{00000000-0005-0000-0000-0000F3260000}"/>
    <cellStyle name="Input 20 3 2" xfId="9972" xr:uid="{00000000-0005-0000-0000-0000F4260000}"/>
    <cellStyle name="Input 20 4" xfId="9973" xr:uid="{00000000-0005-0000-0000-0000F5260000}"/>
    <cellStyle name="Input 21" xfId="9974" xr:uid="{00000000-0005-0000-0000-0000F6260000}"/>
    <cellStyle name="Input 21 2" xfId="9975" xr:uid="{00000000-0005-0000-0000-0000F7260000}"/>
    <cellStyle name="Input 21 2 2" xfId="9976" xr:uid="{00000000-0005-0000-0000-0000F8260000}"/>
    <cellStyle name="Input 21 2 2 2" xfId="9977" xr:uid="{00000000-0005-0000-0000-0000F9260000}"/>
    <cellStyle name="Input 21 2 3" xfId="9978" xr:uid="{00000000-0005-0000-0000-0000FA260000}"/>
    <cellStyle name="Input 21 3" xfId="9979" xr:uid="{00000000-0005-0000-0000-0000FB260000}"/>
    <cellStyle name="Input 21 3 2" xfId="9980" xr:uid="{00000000-0005-0000-0000-0000FC260000}"/>
    <cellStyle name="Input 21 4" xfId="9981" xr:uid="{00000000-0005-0000-0000-0000FD260000}"/>
    <cellStyle name="Input 22" xfId="9982" xr:uid="{00000000-0005-0000-0000-0000FE260000}"/>
    <cellStyle name="Input 22 2" xfId="9983" xr:uid="{00000000-0005-0000-0000-0000FF260000}"/>
    <cellStyle name="Input 22 2 2" xfId="9984" xr:uid="{00000000-0005-0000-0000-000000270000}"/>
    <cellStyle name="Input 22 2 2 2" xfId="9985" xr:uid="{00000000-0005-0000-0000-000001270000}"/>
    <cellStyle name="Input 22 2 3" xfId="9986" xr:uid="{00000000-0005-0000-0000-000002270000}"/>
    <cellStyle name="Input 22 3" xfId="9987" xr:uid="{00000000-0005-0000-0000-000003270000}"/>
    <cellStyle name="Input 22 3 2" xfId="9988" xr:uid="{00000000-0005-0000-0000-000004270000}"/>
    <cellStyle name="Input 22 4" xfId="9989" xr:uid="{00000000-0005-0000-0000-000005270000}"/>
    <cellStyle name="Input 23" xfId="9990" xr:uid="{00000000-0005-0000-0000-000006270000}"/>
    <cellStyle name="Input 23 2" xfId="9991" xr:uid="{00000000-0005-0000-0000-000007270000}"/>
    <cellStyle name="Input 23 2 2" xfId="9992" xr:uid="{00000000-0005-0000-0000-000008270000}"/>
    <cellStyle name="Input 23 2 2 2" xfId="9993" xr:uid="{00000000-0005-0000-0000-000009270000}"/>
    <cellStyle name="Input 23 2 3" xfId="9994" xr:uid="{00000000-0005-0000-0000-00000A270000}"/>
    <cellStyle name="Input 23 3" xfId="9995" xr:uid="{00000000-0005-0000-0000-00000B270000}"/>
    <cellStyle name="Input 23 3 2" xfId="9996" xr:uid="{00000000-0005-0000-0000-00000C270000}"/>
    <cellStyle name="Input 23 4" xfId="9997" xr:uid="{00000000-0005-0000-0000-00000D270000}"/>
    <cellStyle name="Input 24" xfId="9998" xr:uid="{00000000-0005-0000-0000-00000E270000}"/>
    <cellStyle name="Input 24 2" xfId="9999" xr:uid="{00000000-0005-0000-0000-00000F270000}"/>
    <cellStyle name="Input 24 2 2" xfId="10000" xr:uid="{00000000-0005-0000-0000-000010270000}"/>
    <cellStyle name="Input 24 2 2 2" xfId="10001" xr:uid="{00000000-0005-0000-0000-000011270000}"/>
    <cellStyle name="Input 24 2 3" xfId="10002" xr:uid="{00000000-0005-0000-0000-000012270000}"/>
    <cellStyle name="Input 24 3" xfId="10003" xr:uid="{00000000-0005-0000-0000-000013270000}"/>
    <cellStyle name="Input 24 3 2" xfId="10004" xr:uid="{00000000-0005-0000-0000-000014270000}"/>
    <cellStyle name="Input 24 4" xfId="10005" xr:uid="{00000000-0005-0000-0000-000015270000}"/>
    <cellStyle name="Input 25" xfId="10006" xr:uid="{00000000-0005-0000-0000-000016270000}"/>
    <cellStyle name="Input 25 2" xfId="10007" xr:uid="{00000000-0005-0000-0000-000017270000}"/>
    <cellStyle name="Input 25 2 2" xfId="10008" xr:uid="{00000000-0005-0000-0000-000018270000}"/>
    <cellStyle name="Input 25 2 2 2" xfId="10009" xr:uid="{00000000-0005-0000-0000-000019270000}"/>
    <cellStyle name="Input 25 2 3" xfId="10010" xr:uid="{00000000-0005-0000-0000-00001A270000}"/>
    <cellStyle name="Input 25 3" xfId="10011" xr:uid="{00000000-0005-0000-0000-00001B270000}"/>
    <cellStyle name="Input 25 3 2" xfId="10012" xr:uid="{00000000-0005-0000-0000-00001C270000}"/>
    <cellStyle name="Input 25 4" xfId="10013" xr:uid="{00000000-0005-0000-0000-00001D270000}"/>
    <cellStyle name="Input 26" xfId="10014" xr:uid="{00000000-0005-0000-0000-00001E270000}"/>
    <cellStyle name="Input 26 2" xfId="10015" xr:uid="{00000000-0005-0000-0000-00001F270000}"/>
    <cellStyle name="Input 26 2 2" xfId="10016" xr:uid="{00000000-0005-0000-0000-000020270000}"/>
    <cellStyle name="Input 26 2 2 2" xfId="10017" xr:uid="{00000000-0005-0000-0000-000021270000}"/>
    <cellStyle name="Input 26 2 3" xfId="10018" xr:uid="{00000000-0005-0000-0000-000022270000}"/>
    <cellStyle name="Input 26 3" xfId="10019" xr:uid="{00000000-0005-0000-0000-000023270000}"/>
    <cellStyle name="Input 26 3 2" xfId="10020" xr:uid="{00000000-0005-0000-0000-000024270000}"/>
    <cellStyle name="Input 26 4" xfId="10021" xr:uid="{00000000-0005-0000-0000-000025270000}"/>
    <cellStyle name="Input 27" xfId="10022" xr:uid="{00000000-0005-0000-0000-000026270000}"/>
    <cellStyle name="Input 27 2" xfId="10023" xr:uid="{00000000-0005-0000-0000-000027270000}"/>
    <cellStyle name="Input 27 2 2" xfId="10024" xr:uid="{00000000-0005-0000-0000-000028270000}"/>
    <cellStyle name="Input 27 2 2 2" xfId="10025" xr:uid="{00000000-0005-0000-0000-000029270000}"/>
    <cellStyle name="Input 27 2 3" xfId="10026" xr:uid="{00000000-0005-0000-0000-00002A270000}"/>
    <cellStyle name="Input 27 3" xfId="10027" xr:uid="{00000000-0005-0000-0000-00002B270000}"/>
    <cellStyle name="Input 27 3 2" xfId="10028" xr:uid="{00000000-0005-0000-0000-00002C270000}"/>
    <cellStyle name="Input 27 4" xfId="10029" xr:uid="{00000000-0005-0000-0000-00002D270000}"/>
    <cellStyle name="Input 28" xfId="10030" xr:uid="{00000000-0005-0000-0000-00002E270000}"/>
    <cellStyle name="Input 28 2" xfId="10031" xr:uid="{00000000-0005-0000-0000-00002F270000}"/>
    <cellStyle name="Input 28 2 2" xfId="10032" xr:uid="{00000000-0005-0000-0000-000030270000}"/>
    <cellStyle name="Input 28 2 2 2" xfId="10033" xr:uid="{00000000-0005-0000-0000-000031270000}"/>
    <cellStyle name="Input 28 2 3" xfId="10034" xr:uid="{00000000-0005-0000-0000-000032270000}"/>
    <cellStyle name="Input 28 3" xfId="10035" xr:uid="{00000000-0005-0000-0000-000033270000}"/>
    <cellStyle name="Input 28 3 2" xfId="10036" xr:uid="{00000000-0005-0000-0000-000034270000}"/>
    <cellStyle name="Input 28 4" xfId="10037" xr:uid="{00000000-0005-0000-0000-000035270000}"/>
    <cellStyle name="Input 29" xfId="10038" xr:uid="{00000000-0005-0000-0000-000036270000}"/>
    <cellStyle name="Input 29 2" xfId="10039" xr:uid="{00000000-0005-0000-0000-000037270000}"/>
    <cellStyle name="Input 29 2 2" xfId="10040" xr:uid="{00000000-0005-0000-0000-000038270000}"/>
    <cellStyle name="Input 29 2 2 2" xfId="10041" xr:uid="{00000000-0005-0000-0000-000039270000}"/>
    <cellStyle name="Input 29 2 3" xfId="10042" xr:uid="{00000000-0005-0000-0000-00003A270000}"/>
    <cellStyle name="Input 29 3" xfId="10043" xr:uid="{00000000-0005-0000-0000-00003B270000}"/>
    <cellStyle name="Input 29 3 2" xfId="10044" xr:uid="{00000000-0005-0000-0000-00003C270000}"/>
    <cellStyle name="Input 29 4" xfId="10045" xr:uid="{00000000-0005-0000-0000-00003D270000}"/>
    <cellStyle name="Input 3" xfId="10046" xr:uid="{00000000-0005-0000-0000-00003E270000}"/>
    <cellStyle name="Input 3 10" xfId="10047" xr:uid="{00000000-0005-0000-0000-00003F270000}"/>
    <cellStyle name="Input 3 10 2" xfId="10048" xr:uid="{00000000-0005-0000-0000-000040270000}"/>
    <cellStyle name="Input 3 10 2 2" xfId="10049" xr:uid="{00000000-0005-0000-0000-000041270000}"/>
    <cellStyle name="Input 3 10 3" xfId="10050" xr:uid="{00000000-0005-0000-0000-000042270000}"/>
    <cellStyle name="Input 3 11" xfId="10051" xr:uid="{00000000-0005-0000-0000-000043270000}"/>
    <cellStyle name="Input 3 11 2" xfId="10052" xr:uid="{00000000-0005-0000-0000-000044270000}"/>
    <cellStyle name="Input 3 12" xfId="10053" xr:uid="{00000000-0005-0000-0000-000045270000}"/>
    <cellStyle name="Input 3 2" xfId="10054" xr:uid="{00000000-0005-0000-0000-000046270000}"/>
    <cellStyle name="Input 3 2 2" xfId="10055" xr:uid="{00000000-0005-0000-0000-000047270000}"/>
    <cellStyle name="Input 3 2 2 2" xfId="10056" xr:uid="{00000000-0005-0000-0000-000048270000}"/>
    <cellStyle name="Input 3 2 3" xfId="10057" xr:uid="{00000000-0005-0000-0000-000049270000}"/>
    <cellStyle name="Input 3 2 3 2" xfId="10058" xr:uid="{00000000-0005-0000-0000-00004A270000}"/>
    <cellStyle name="Input 3 2 3 2 2" xfId="10059" xr:uid="{00000000-0005-0000-0000-00004B270000}"/>
    <cellStyle name="Input 3 2 3 3" xfId="10060" xr:uid="{00000000-0005-0000-0000-00004C270000}"/>
    <cellStyle name="Input 3 2 4" xfId="10061" xr:uid="{00000000-0005-0000-0000-00004D270000}"/>
    <cellStyle name="Input 3 3" xfId="10062" xr:uid="{00000000-0005-0000-0000-00004E270000}"/>
    <cellStyle name="Input 3 3 2" xfId="10063" xr:uid="{00000000-0005-0000-0000-00004F270000}"/>
    <cellStyle name="Input 3 3 2 2" xfId="10064" xr:uid="{00000000-0005-0000-0000-000050270000}"/>
    <cellStyle name="Input 3 3 2 2 2" xfId="10065" xr:uid="{00000000-0005-0000-0000-000051270000}"/>
    <cellStyle name="Input 3 3 2 3" xfId="10066" xr:uid="{00000000-0005-0000-0000-000052270000}"/>
    <cellStyle name="Input 3 3 3" xfId="10067" xr:uid="{00000000-0005-0000-0000-000053270000}"/>
    <cellStyle name="Input 3 3 3 2" xfId="10068" xr:uid="{00000000-0005-0000-0000-000054270000}"/>
    <cellStyle name="Input 3 3 3 2 2" xfId="10069" xr:uid="{00000000-0005-0000-0000-000055270000}"/>
    <cellStyle name="Input 3 3 3 2 2 2" xfId="10070" xr:uid="{00000000-0005-0000-0000-000056270000}"/>
    <cellStyle name="Input 3 3 3 2 3" xfId="10071" xr:uid="{00000000-0005-0000-0000-000057270000}"/>
    <cellStyle name="Input 3 3 3 3" xfId="10072" xr:uid="{00000000-0005-0000-0000-000058270000}"/>
    <cellStyle name="Input 3 3 3 3 2" xfId="10073" xr:uid="{00000000-0005-0000-0000-000059270000}"/>
    <cellStyle name="Input 3 3 3 4" xfId="10074" xr:uid="{00000000-0005-0000-0000-00005A270000}"/>
    <cellStyle name="Input 3 3 4" xfId="10075" xr:uid="{00000000-0005-0000-0000-00005B270000}"/>
    <cellStyle name="Input 3 3 4 2" xfId="10076" xr:uid="{00000000-0005-0000-0000-00005C270000}"/>
    <cellStyle name="Input 3 3 5" xfId="10077" xr:uid="{00000000-0005-0000-0000-00005D270000}"/>
    <cellStyle name="Input 3 4" xfId="10078" xr:uid="{00000000-0005-0000-0000-00005E270000}"/>
    <cellStyle name="Input 3 4 2" xfId="10079" xr:uid="{00000000-0005-0000-0000-00005F270000}"/>
    <cellStyle name="Input 3 4 2 2" xfId="10080" xr:uid="{00000000-0005-0000-0000-000060270000}"/>
    <cellStyle name="Input 3 4 2 2 2" xfId="10081" xr:uid="{00000000-0005-0000-0000-000061270000}"/>
    <cellStyle name="Input 3 4 2 3" xfId="10082" xr:uid="{00000000-0005-0000-0000-000062270000}"/>
    <cellStyle name="Input 3 4 3" xfId="10083" xr:uid="{00000000-0005-0000-0000-000063270000}"/>
    <cellStyle name="Input 3 4 3 2" xfId="10084" xr:uid="{00000000-0005-0000-0000-000064270000}"/>
    <cellStyle name="Input 3 4 4" xfId="10085" xr:uid="{00000000-0005-0000-0000-000065270000}"/>
    <cellStyle name="Input 3 5" xfId="10086" xr:uid="{00000000-0005-0000-0000-000066270000}"/>
    <cellStyle name="Input 3 5 2" xfId="10087" xr:uid="{00000000-0005-0000-0000-000067270000}"/>
    <cellStyle name="Input 3 5 2 2" xfId="10088" xr:uid="{00000000-0005-0000-0000-000068270000}"/>
    <cellStyle name="Input 3 5 2 2 2" xfId="10089" xr:uid="{00000000-0005-0000-0000-000069270000}"/>
    <cellStyle name="Input 3 5 2 3" xfId="10090" xr:uid="{00000000-0005-0000-0000-00006A270000}"/>
    <cellStyle name="Input 3 5 3" xfId="10091" xr:uid="{00000000-0005-0000-0000-00006B270000}"/>
    <cellStyle name="Input 3 5 3 2" xfId="10092" xr:uid="{00000000-0005-0000-0000-00006C270000}"/>
    <cellStyle name="Input 3 5 3 2 2" xfId="10093" xr:uid="{00000000-0005-0000-0000-00006D270000}"/>
    <cellStyle name="Input 3 5 3 2 2 2" xfId="10094" xr:uid="{00000000-0005-0000-0000-00006E270000}"/>
    <cellStyle name="Input 3 5 3 2 3" xfId="10095" xr:uid="{00000000-0005-0000-0000-00006F270000}"/>
    <cellStyle name="Input 3 5 3 3" xfId="10096" xr:uid="{00000000-0005-0000-0000-000070270000}"/>
    <cellStyle name="Input 3 5 3 3 2" xfId="10097" xr:uid="{00000000-0005-0000-0000-000071270000}"/>
    <cellStyle name="Input 3 5 3 4" xfId="10098" xr:uid="{00000000-0005-0000-0000-000072270000}"/>
    <cellStyle name="Input 3 5 4" xfId="10099" xr:uid="{00000000-0005-0000-0000-000073270000}"/>
    <cellStyle name="Input 3 5 4 2" xfId="10100" xr:uid="{00000000-0005-0000-0000-000074270000}"/>
    <cellStyle name="Input 3 5 5" xfId="10101" xr:uid="{00000000-0005-0000-0000-000075270000}"/>
    <cellStyle name="Input 3 6" xfId="10102" xr:uid="{00000000-0005-0000-0000-000076270000}"/>
    <cellStyle name="Input 3 6 2" xfId="10103" xr:uid="{00000000-0005-0000-0000-000077270000}"/>
    <cellStyle name="Input 3 6 2 2" xfId="10104" xr:uid="{00000000-0005-0000-0000-000078270000}"/>
    <cellStyle name="Input 3 6 3" xfId="10105" xr:uid="{00000000-0005-0000-0000-000079270000}"/>
    <cellStyle name="Input 3 7" xfId="10106" xr:uid="{00000000-0005-0000-0000-00007A270000}"/>
    <cellStyle name="Input 3 7 2" xfId="10107" xr:uid="{00000000-0005-0000-0000-00007B270000}"/>
    <cellStyle name="Input 3 7 2 2" xfId="10108" xr:uid="{00000000-0005-0000-0000-00007C270000}"/>
    <cellStyle name="Input 3 7 3" xfId="10109" xr:uid="{00000000-0005-0000-0000-00007D270000}"/>
    <cellStyle name="Input 3 8" xfId="10110" xr:uid="{00000000-0005-0000-0000-00007E270000}"/>
    <cellStyle name="Input 3 8 2" xfId="10111" xr:uid="{00000000-0005-0000-0000-00007F270000}"/>
    <cellStyle name="Input 3 8 2 2" xfId="10112" xr:uid="{00000000-0005-0000-0000-000080270000}"/>
    <cellStyle name="Input 3 8 2 2 2" xfId="10113" xr:uid="{00000000-0005-0000-0000-000081270000}"/>
    <cellStyle name="Input 3 8 2 3" xfId="10114" xr:uid="{00000000-0005-0000-0000-000082270000}"/>
    <cellStyle name="Input 3 8 3" xfId="10115" xr:uid="{00000000-0005-0000-0000-000083270000}"/>
    <cellStyle name="Input 3 8 3 2" xfId="10116" xr:uid="{00000000-0005-0000-0000-000084270000}"/>
    <cellStyle name="Input 3 8 4" xfId="10117" xr:uid="{00000000-0005-0000-0000-000085270000}"/>
    <cellStyle name="Input 3 9" xfId="10118" xr:uid="{00000000-0005-0000-0000-000086270000}"/>
    <cellStyle name="Input 3 9 2" xfId="10119" xr:uid="{00000000-0005-0000-0000-000087270000}"/>
    <cellStyle name="Input 3 9 2 2" xfId="10120" xr:uid="{00000000-0005-0000-0000-000088270000}"/>
    <cellStyle name="Input 3 9 2 2 2" xfId="10121" xr:uid="{00000000-0005-0000-0000-000089270000}"/>
    <cellStyle name="Input 3 9 2 2 2 2" xfId="10122" xr:uid="{00000000-0005-0000-0000-00008A270000}"/>
    <cellStyle name="Input 3 9 2 2 2 2 2" xfId="10123" xr:uid="{00000000-0005-0000-0000-00008B270000}"/>
    <cellStyle name="Input 3 9 2 2 2 3" xfId="10124" xr:uid="{00000000-0005-0000-0000-00008C270000}"/>
    <cellStyle name="Input 3 9 2 2 3" xfId="10125" xr:uid="{00000000-0005-0000-0000-00008D270000}"/>
    <cellStyle name="Input 3 9 2 2 3 2" xfId="10126" xr:uid="{00000000-0005-0000-0000-00008E270000}"/>
    <cellStyle name="Input 3 9 2 2 4" xfId="10127" xr:uid="{00000000-0005-0000-0000-00008F270000}"/>
    <cellStyle name="Input 3 9 2 3" xfId="10128" xr:uid="{00000000-0005-0000-0000-000090270000}"/>
    <cellStyle name="Input 3 9 2 3 2" xfId="10129" xr:uid="{00000000-0005-0000-0000-000091270000}"/>
    <cellStyle name="Input 3 9 2 3 2 2" xfId="10130" xr:uid="{00000000-0005-0000-0000-000092270000}"/>
    <cellStyle name="Input 3 9 2 3 3" xfId="10131" xr:uid="{00000000-0005-0000-0000-000093270000}"/>
    <cellStyle name="Input 3 9 2 4" xfId="10132" xr:uid="{00000000-0005-0000-0000-000094270000}"/>
    <cellStyle name="Input 3 9 2 4 2" xfId="10133" xr:uid="{00000000-0005-0000-0000-000095270000}"/>
    <cellStyle name="Input 3 9 2 5" xfId="10134" xr:uid="{00000000-0005-0000-0000-000096270000}"/>
    <cellStyle name="Input 3 9 3" xfId="10135" xr:uid="{00000000-0005-0000-0000-000097270000}"/>
    <cellStyle name="Input 3 9 3 2" xfId="10136" xr:uid="{00000000-0005-0000-0000-000098270000}"/>
    <cellStyle name="Input 3 9 3 2 2" xfId="10137" xr:uid="{00000000-0005-0000-0000-000099270000}"/>
    <cellStyle name="Input 3 9 3 2 2 2" xfId="10138" xr:uid="{00000000-0005-0000-0000-00009A270000}"/>
    <cellStyle name="Input 3 9 3 2 3" xfId="10139" xr:uid="{00000000-0005-0000-0000-00009B270000}"/>
    <cellStyle name="Input 3 9 3 3" xfId="10140" xr:uid="{00000000-0005-0000-0000-00009C270000}"/>
    <cellStyle name="Input 3 9 3 3 2" xfId="10141" xr:uid="{00000000-0005-0000-0000-00009D270000}"/>
    <cellStyle name="Input 3 9 3 4" xfId="10142" xr:uid="{00000000-0005-0000-0000-00009E270000}"/>
    <cellStyle name="Input 3 9 4" xfId="10143" xr:uid="{00000000-0005-0000-0000-00009F270000}"/>
    <cellStyle name="Input 3 9 4 2" xfId="10144" xr:uid="{00000000-0005-0000-0000-0000A0270000}"/>
    <cellStyle name="Input 3 9 4 2 2" xfId="10145" xr:uid="{00000000-0005-0000-0000-0000A1270000}"/>
    <cellStyle name="Input 3 9 4 3" xfId="10146" xr:uid="{00000000-0005-0000-0000-0000A2270000}"/>
    <cellStyle name="Input 3 9 5" xfId="10147" xr:uid="{00000000-0005-0000-0000-0000A3270000}"/>
    <cellStyle name="Input 3 9 5 2" xfId="10148" xr:uid="{00000000-0005-0000-0000-0000A4270000}"/>
    <cellStyle name="Input 3 9 6" xfId="10149" xr:uid="{00000000-0005-0000-0000-0000A5270000}"/>
    <cellStyle name="Input 30" xfId="10150" xr:uid="{00000000-0005-0000-0000-0000A6270000}"/>
    <cellStyle name="Input 30 2" xfId="10151" xr:uid="{00000000-0005-0000-0000-0000A7270000}"/>
    <cellStyle name="Input 30 2 2" xfId="10152" xr:uid="{00000000-0005-0000-0000-0000A8270000}"/>
    <cellStyle name="Input 30 2 2 2" xfId="10153" xr:uid="{00000000-0005-0000-0000-0000A9270000}"/>
    <cellStyle name="Input 30 2 3" xfId="10154" xr:uid="{00000000-0005-0000-0000-0000AA270000}"/>
    <cellStyle name="Input 30 3" xfId="10155" xr:uid="{00000000-0005-0000-0000-0000AB270000}"/>
    <cellStyle name="Input 30 3 2" xfId="10156" xr:uid="{00000000-0005-0000-0000-0000AC270000}"/>
    <cellStyle name="Input 30 4" xfId="10157" xr:uid="{00000000-0005-0000-0000-0000AD270000}"/>
    <cellStyle name="Input 31" xfId="10158" xr:uid="{00000000-0005-0000-0000-0000AE270000}"/>
    <cellStyle name="Input 31 2" xfId="10159" xr:uid="{00000000-0005-0000-0000-0000AF270000}"/>
    <cellStyle name="Input 31 2 2" xfId="10160" xr:uid="{00000000-0005-0000-0000-0000B0270000}"/>
    <cellStyle name="Input 31 2 2 2" xfId="10161" xr:uid="{00000000-0005-0000-0000-0000B1270000}"/>
    <cellStyle name="Input 31 2 3" xfId="10162" xr:uid="{00000000-0005-0000-0000-0000B2270000}"/>
    <cellStyle name="Input 31 3" xfId="10163" xr:uid="{00000000-0005-0000-0000-0000B3270000}"/>
    <cellStyle name="Input 31 3 2" xfId="10164" xr:uid="{00000000-0005-0000-0000-0000B4270000}"/>
    <cellStyle name="Input 31 4" xfId="10165" xr:uid="{00000000-0005-0000-0000-0000B5270000}"/>
    <cellStyle name="Input 32" xfId="10166" xr:uid="{00000000-0005-0000-0000-0000B6270000}"/>
    <cellStyle name="Input 32 2" xfId="10167" xr:uid="{00000000-0005-0000-0000-0000B7270000}"/>
    <cellStyle name="Input 32 2 2" xfId="10168" xr:uid="{00000000-0005-0000-0000-0000B8270000}"/>
    <cellStyle name="Input 32 2 2 2" xfId="10169" xr:uid="{00000000-0005-0000-0000-0000B9270000}"/>
    <cellStyle name="Input 32 2 3" xfId="10170" xr:uid="{00000000-0005-0000-0000-0000BA270000}"/>
    <cellStyle name="Input 32 3" xfId="10171" xr:uid="{00000000-0005-0000-0000-0000BB270000}"/>
    <cellStyle name="Input 32 3 2" xfId="10172" xr:uid="{00000000-0005-0000-0000-0000BC270000}"/>
    <cellStyle name="Input 32 4" xfId="10173" xr:uid="{00000000-0005-0000-0000-0000BD270000}"/>
    <cellStyle name="Input 33" xfId="10174" xr:uid="{00000000-0005-0000-0000-0000BE270000}"/>
    <cellStyle name="Input 33 2" xfId="10175" xr:uid="{00000000-0005-0000-0000-0000BF270000}"/>
    <cellStyle name="Input 33 2 2" xfId="10176" xr:uid="{00000000-0005-0000-0000-0000C0270000}"/>
    <cellStyle name="Input 33 2 2 2" xfId="10177" xr:uid="{00000000-0005-0000-0000-0000C1270000}"/>
    <cellStyle name="Input 33 2 3" xfId="10178" xr:uid="{00000000-0005-0000-0000-0000C2270000}"/>
    <cellStyle name="Input 33 3" xfId="10179" xr:uid="{00000000-0005-0000-0000-0000C3270000}"/>
    <cellStyle name="Input 33 3 2" xfId="10180" xr:uid="{00000000-0005-0000-0000-0000C4270000}"/>
    <cellStyle name="Input 33 4" xfId="10181" xr:uid="{00000000-0005-0000-0000-0000C5270000}"/>
    <cellStyle name="Input 34" xfId="10182" xr:uid="{00000000-0005-0000-0000-0000C6270000}"/>
    <cellStyle name="Input 34 2" xfId="10183" xr:uid="{00000000-0005-0000-0000-0000C7270000}"/>
    <cellStyle name="Input 34 2 2" xfId="10184" xr:uid="{00000000-0005-0000-0000-0000C8270000}"/>
    <cellStyle name="Input 34 2 2 2" xfId="10185" xr:uid="{00000000-0005-0000-0000-0000C9270000}"/>
    <cellStyle name="Input 34 2 3" xfId="10186" xr:uid="{00000000-0005-0000-0000-0000CA270000}"/>
    <cellStyle name="Input 34 3" xfId="10187" xr:uid="{00000000-0005-0000-0000-0000CB270000}"/>
    <cellStyle name="Input 34 3 2" xfId="10188" xr:uid="{00000000-0005-0000-0000-0000CC270000}"/>
    <cellStyle name="Input 34 4" xfId="10189" xr:uid="{00000000-0005-0000-0000-0000CD270000}"/>
    <cellStyle name="Input 35" xfId="10190" xr:uid="{00000000-0005-0000-0000-0000CE270000}"/>
    <cellStyle name="Input 35 2" xfId="10191" xr:uid="{00000000-0005-0000-0000-0000CF270000}"/>
    <cellStyle name="Input 35 2 2" xfId="10192" xr:uid="{00000000-0005-0000-0000-0000D0270000}"/>
    <cellStyle name="Input 35 2 2 2" xfId="10193" xr:uid="{00000000-0005-0000-0000-0000D1270000}"/>
    <cellStyle name="Input 35 2 3" xfId="10194" xr:uid="{00000000-0005-0000-0000-0000D2270000}"/>
    <cellStyle name="Input 35 3" xfId="10195" xr:uid="{00000000-0005-0000-0000-0000D3270000}"/>
    <cellStyle name="Input 35 3 2" xfId="10196" xr:uid="{00000000-0005-0000-0000-0000D4270000}"/>
    <cellStyle name="Input 35 4" xfId="10197" xr:uid="{00000000-0005-0000-0000-0000D5270000}"/>
    <cellStyle name="Input 36" xfId="10198" xr:uid="{00000000-0005-0000-0000-0000D6270000}"/>
    <cellStyle name="Input 36 2" xfId="10199" xr:uid="{00000000-0005-0000-0000-0000D7270000}"/>
    <cellStyle name="Input 36 2 2" xfId="10200" xr:uid="{00000000-0005-0000-0000-0000D8270000}"/>
    <cellStyle name="Input 36 2 2 2" xfId="10201" xr:uid="{00000000-0005-0000-0000-0000D9270000}"/>
    <cellStyle name="Input 36 2 3" xfId="10202" xr:uid="{00000000-0005-0000-0000-0000DA270000}"/>
    <cellStyle name="Input 36 3" xfId="10203" xr:uid="{00000000-0005-0000-0000-0000DB270000}"/>
    <cellStyle name="Input 36 3 2" xfId="10204" xr:uid="{00000000-0005-0000-0000-0000DC270000}"/>
    <cellStyle name="Input 36 4" xfId="10205" xr:uid="{00000000-0005-0000-0000-0000DD270000}"/>
    <cellStyle name="Input 37" xfId="10206" xr:uid="{00000000-0005-0000-0000-0000DE270000}"/>
    <cellStyle name="Input 37 2" xfId="10207" xr:uid="{00000000-0005-0000-0000-0000DF270000}"/>
    <cellStyle name="Input 37 2 2" xfId="10208" xr:uid="{00000000-0005-0000-0000-0000E0270000}"/>
    <cellStyle name="Input 37 2 2 2" xfId="10209" xr:uid="{00000000-0005-0000-0000-0000E1270000}"/>
    <cellStyle name="Input 37 2 3" xfId="10210" xr:uid="{00000000-0005-0000-0000-0000E2270000}"/>
    <cellStyle name="Input 37 3" xfId="10211" xr:uid="{00000000-0005-0000-0000-0000E3270000}"/>
    <cellStyle name="Input 37 3 2" xfId="10212" xr:uid="{00000000-0005-0000-0000-0000E4270000}"/>
    <cellStyle name="Input 37 4" xfId="10213" xr:uid="{00000000-0005-0000-0000-0000E5270000}"/>
    <cellStyle name="Input 38" xfId="10214" xr:uid="{00000000-0005-0000-0000-0000E6270000}"/>
    <cellStyle name="Input 38 2" xfId="10215" xr:uid="{00000000-0005-0000-0000-0000E7270000}"/>
    <cellStyle name="Input 38 2 2" xfId="10216" xr:uid="{00000000-0005-0000-0000-0000E8270000}"/>
    <cellStyle name="Input 38 2 2 2" xfId="10217" xr:uid="{00000000-0005-0000-0000-0000E9270000}"/>
    <cellStyle name="Input 38 2 3" xfId="10218" xr:uid="{00000000-0005-0000-0000-0000EA270000}"/>
    <cellStyle name="Input 38 3" xfId="10219" xr:uid="{00000000-0005-0000-0000-0000EB270000}"/>
    <cellStyle name="Input 38 3 2" xfId="10220" xr:uid="{00000000-0005-0000-0000-0000EC270000}"/>
    <cellStyle name="Input 38 4" xfId="10221" xr:uid="{00000000-0005-0000-0000-0000ED270000}"/>
    <cellStyle name="Input 39" xfId="10222" xr:uid="{00000000-0005-0000-0000-0000EE270000}"/>
    <cellStyle name="Input 39 2" xfId="10223" xr:uid="{00000000-0005-0000-0000-0000EF270000}"/>
    <cellStyle name="Input 39 2 2" xfId="10224" xr:uid="{00000000-0005-0000-0000-0000F0270000}"/>
    <cellStyle name="Input 39 2 2 2" xfId="10225" xr:uid="{00000000-0005-0000-0000-0000F1270000}"/>
    <cellStyle name="Input 39 2 3" xfId="10226" xr:uid="{00000000-0005-0000-0000-0000F2270000}"/>
    <cellStyle name="Input 39 3" xfId="10227" xr:uid="{00000000-0005-0000-0000-0000F3270000}"/>
    <cellStyle name="Input 39 3 2" xfId="10228" xr:uid="{00000000-0005-0000-0000-0000F4270000}"/>
    <cellStyle name="Input 39 4" xfId="10229" xr:uid="{00000000-0005-0000-0000-0000F5270000}"/>
    <cellStyle name="Input 4" xfId="10230" xr:uid="{00000000-0005-0000-0000-0000F6270000}"/>
    <cellStyle name="Input 4 2" xfId="10231" xr:uid="{00000000-0005-0000-0000-0000F7270000}"/>
    <cellStyle name="Input 4 2 2" xfId="10232" xr:uid="{00000000-0005-0000-0000-0000F8270000}"/>
    <cellStyle name="Input 4 2 2 2" xfId="10233" xr:uid="{00000000-0005-0000-0000-0000F9270000}"/>
    <cellStyle name="Input 4 2 3" xfId="10234" xr:uid="{00000000-0005-0000-0000-0000FA270000}"/>
    <cellStyle name="Input 4 2 3 2" xfId="10235" xr:uid="{00000000-0005-0000-0000-0000FB270000}"/>
    <cellStyle name="Input 4 2 3 2 2" xfId="10236" xr:uid="{00000000-0005-0000-0000-0000FC270000}"/>
    <cellStyle name="Input 4 2 3 3" xfId="10237" xr:uid="{00000000-0005-0000-0000-0000FD270000}"/>
    <cellStyle name="Input 4 2 4" xfId="10238" xr:uid="{00000000-0005-0000-0000-0000FE270000}"/>
    <cellStyle name="Input 4 3" xfId="10239" xr:uid="{00000000-0005-0000-0000-0000FF270000}"/>
    <cellStyle name="Input 4 3 2" xfId="10240" xr:uid="{00000000-0005-0000-0000-000000280000}"/>
    <cellStyle name="Input 4 3 2 2" xfId="10241" xr:uid="{00000000-0005-0000-0000-000001280000}"/>
    <cellStyle name="Input 4 3 2 2 2" xfId="10242" xr:uid="{00000000-0005-0000-0000-000002280000}"/>
    <cellStyle name="Input 4 3 2 3" xfId="10243" xr:uid="{00000000-0005-0000-0000-000003280000}"/>
    <cellStyle name="Input 4 3 3" xfId="10244" xr:uid="{00000000-0005-0000-0000-000004280000}"/>
    <cellStyle name="Input 4 3 3 2" xfId="10245" xr:uid="{00000000-0005-0000-0000-000005280000}"/>
    <cellStyle name="Input 4 3 3 2 2" xfId="10246" xr:uid="{00000000-0005-0000-0000-000006280000}"/>
    <cellStyle name="Input 4 3 3 2 2 2" xfId="10247" xr:uid="{00000000-0005-0000-0000-000007280000}"/>
    <cellStyle name="Input 4 3 3 2 3" xfId="10248" xr:uid="{00000000-0005-0000-0000-000008280000}"/>
    <cellStyle name="Input 4 3 3 3" xfId="10249" xr:uid="{00000000-0005-0000-0000-000009280000}"/>
    <cellStyle name="Input 4 3 3 3 2" xfId="10250" xr:uid="{00000000-0005-0000-0000-00000A280000}"/>
    <cellStyle name="Input 4 3 3 4" xfId="10251" xr:uid="{00000000-0005-0000-0000-00000B280000}"/>
    <cellStyle name="Input 4 3 4" xfId="10252" xr:uid="{00000000-0005-0000-0000-00000C280000}"/>
    <cellStyle name="Input 4 3 4 2" xfId="10253" xr:uid="{00000000-0005-0000-0000-00000D280000}"/>
    <cellStyle name="Input 4 3 5" xfId="10254" xr:uid="{00000000-0005-0000-0000-00000E280000}"/>
    <cellStyle name="Input 4 4" xfId="10255" xr:uid="{00000000-0005-0000-0000-00000F280000}"/>
    <cellStyle name="Input 4 4 2" xfId="10256" xr:uid="{00000000-0005-0000-0000-000010280000}"/>
    <cellStyle name="Input 4 4 2 2" xfId="10257" xr:uid="{00000000-0005-0000-0000-000011280000}"/>
    <cellStyle name="Input 4 4 2 2 2" xfId="10258" xr:uid="{00000000-0005-0000-0000-000012280000}"/>
    <cellStyle name="Input 4 4 2 3" xfId="10259" xr:uid="{00000000-0005-0000-0000-000013280000}"/>
    <cellStyle name="Input 4 4 3" xfId="10260" xr:uid="{00000000-0005-0000-0000-000014280000}"/>
    <cellStyle name="Input 4 4 3 2" xfId="10261" xr:uid="{00000000-0005-0000-0000-000015280000}"/>
    <cellStyle name="Input 4 4 4" xfId="10262" xr:uid="{00000000-0005-0000-0000-000016280000}"/>
    <cellStyle name="Input 4 5" xfId="10263" xr:uid="{00000000-0005-0000-0000-000017280000}"/>
    <cellStyle name="Input 4 5 2" xfId="10264" xr:uid="{00000000-0005-0000-0000-000018280000}"/>
    <cellStyle name="Input 4 5 2 2" xfId="10265" xr:uid="{00000000-0005-0000-0000-000019280000}"/>
    <cellStyle name="Input 4 5 3" xfId="10266" xr:uid="{00000000-0005-0000-0000-00001A280000}"/>
    <cellStyle name="Input 4 6" xfId="10267" xr:uid="{00000000-0005-0000-0000-00001B280000}"/>
    <cellStyle name="Input 4 6 2" xfId="10268" xr:uid="{00000000-0005-0000-0000-00001C280000}"/>
    <cellStyle name="Input 4 6 2 2" xfId="10269" xr:uid="{00000000-0005-0000-0000-00001D280000}"/>
    <cellStyle name="Input 4 6 2 2 2" xfId="10270" xr:uid="{00000000-0005-0000-0000-00001E280000}"/>
    <cellStyle name="Input 4 6 2 2 2 2" xfId="10271" xr:uid="{00000000-0005-0000-0000-00001F280000}"/>
    <cellStyle name="Input 4 6 2 2 2 2 2" xfId="10272" xr:uid="{00000000-0005-0000-0000-000020280000}"/>
    <cellStyle name="Input 4 6 2 2 2 3" xfId="10273" xr:uid="{00000000-0005-0000-0000-000021280000}"/>
    <cellStyle name="Input 4 6 2 2 3" xfId="10274" xr:uid="{00000000-0005-0000-0000-000022280000}"/>
    <cellStyle name="Input 4 6 2 2 3 2" xfId="10275" xr:uid="{00000000-0005-0000-0000-000023280000}"/>
    <cellStyle name="Input 4 6 2 2 4" xfId="10276" xr:uid="{00000000-0005-0000-0000-000024280000}"/>
    <cellStyle name="Input 4 6 2 3" xfId="10277" xr:uid="{00000000-0005-0000-0000-000025280000}"/>
    <cellStyle name="Input 4 6 2 3 2" xfId="10278" xr:uid="{00000000-0005-0000-0000-000026280000}"/>
    <cellStyle name="Input 4 6 2 3 2 2" xfId="10279" xr:uid="{00000000-0005-0000-0000-000027280000}"/>
    <cellStyle name="Input 4 6 2 3 3" xfId="10280" xr:uid="{00000000-0005-0000-0000-000028280000}"/>
    <cellStyle name="Input 4 6 2 4" xfId="10281" xr:uid="{00000000-0005-0000-0000-000029280000}"/>
    <cellStyle name="Input 4 6 2 4 2" xfId="10282" xr:uid="{00000000-0005-0000-0000-00002A280000}"/>
    <cellStyle name="Input 4 6 2 5" xfId="10283" xr:uid="{00000000-0005-0000-0000-00002B280000}"/>
    <cellStyle name="Input 4 6 3" xfId="10284" xr:uid="{00000000-0005-0000-0000-00002C280000}"/>
    <cellStyle name="Input 4 6 3 2" xfId="10285" xr:uid="{00000000-0005-0000-0000-00002D280000}"/>
    <cellStyle name="Input 4 6 3 2 2" xfId="10286" xr:uid="{00000000-0005-0000-0000-00002E280000}"/>
    <cellStyle name="Input 4 6 3 2 2 2" xfId="10287" xr:uid="{00000000-0005-0000-0000-00002F280000}"/>
    <cellStyle name="Input 4 6 3 2 3" xfId="10288" xr:uid="{00000000-0005-0000-0000-000030280000}"/>
    <cellStyle name="Input 4 6 3 3" xfId="10289" xr:uid="{00000000-0005-0000-0000-000031280000}"/>
    <cellStyle name="Input 4 6 3 3 2" xfId="10290" xr:uid="{00000000-0005-0000-0000-000032280000}"/>
    <cellStyle name="Input 4 6 3 4" xfId="10291" xr:uid="{00000000-0005-0000-0000-000033280000}"/>
    <cellStyle name="Input 4 6 4" xfId="10292" xr:uid="{00000000-0005-0000-0000-000034280000}"/>
    <cellStyle name="Input 4 6 4 2" xfId="10293" xr:uid="{00000000-0005-0000-0000-000035280000}"/>
    <cellStyle name="Input 4 6 4 2 2" xfId="10294" xr:uid="{00000000-0005-0000-0000-000036280000}"/>
    <cellStyle name="Input 4 6 4 3" xfId="10295" xr:uid="{00000000-0005-0000-0000-000037280000}"/>
    <cellStyle name="Input 4 6 5" xfId="10296" xr:uid="{00000000-0005-0000-0000-000038280000}"/>
    <cellStyle name="Input 4 6 5 2" xfId="10297" xr:uid="{00000000-0005-0000-0000-000039280000}"/>
    <cellStyle name="Input 4 6 6" xfId="10298" xr:uid="{00000000-0005-0000-0000-00003A280000}"/>
    <cellStyle name="Input 4 7" xfId="10299" xr:uid="{00000000-0005-0000-0000-00003B280000}"/>
    <cellStyle name="Input 4 7 2" xfId="10300" xr:uid="{00000000-0005-0000-0000-00003C280000}"/>
    <cellStyle name="Input 4 7 2 2" xfId="10301" xr:uid="{00000000-0005-0000-0000-00003D280000}"/>
    <cellStyle name="Input 4 7 3" xfId="10302" xr:uid="{00000000-0005-0000-0000-00003E280000}"/>
    <cellStyle name="Input 4 8" xfId="10303" xr:uid="{00000000-0005-0000-0000-00003F280000}"/>
    <cellStyle name="Input 4 8 2" xfId="10304" xr:uid="{00000000-0005-0000-0000-000040280000}"/>
    <cellStyle name="Input 4 9" xfId="10305" xr:uid="{00000000-0005-0000-0000-000041280000}"/>
    <cellStyle name="Input 40" xfId="10306" xr:uid="{00000000-0005-0000-0000-000042280000}"/>
    <cellStyle name="Input 40 2" xfId="10307" xr:uid="{00000000-0005-0000-0000-000043280000}"/>
    <cellStyle name="Input 40 2 2" xfId="10308" xr:uid="{00000000-0005-0000-0000-000044280000}"/>
    <cellStyle name="Input 40 2 2 2" xfId="10309" xr:uid="{00000000-0005-0000-0000-000045280000}"/>
    <cellStyle name="Input 40 2 3" xfId="10310" xr:uid="{00000000-0005-0000-0000-000046280000}"/>
    <cellStyle name="Input 40 3" xfId="10311" xr:uid="{00000000-0005-0000-0000-000047280000}"/>
    <cellStyle name="Input 40 3 2" xfId="10312" xr:uid="{00000000-0005-0000-0000-000048280000}"/>
    <cellStyle name="Input 40 4" xfId="10313" xr:uid="{00000000-0005-0000-0000-000049280000}"/>
    <cellStyle name="Input 41" xfId="10314" xr:uid="{00000000-0005-0000-0000-00004A280000}"/>
    <cellStyle name="Input 41 2" xfId="10315" xr:uid="{00000000-0005-0000-0000-00004B280000}"/>
    <cellStyle name="Input 41 2 2" xfId="10316" xr:uid="{00000000-0005-0000-0000-00004C280000}"/>
    <cellStyle name="Input 41 2 2 2" xfId="10317" xr:uid="{00000000-0005-0000-0000-00004D280000}"/>
    <cellStyle name="Input 41 2 3" xfId="10318" xr:uid="{00000000-0005-0000-0000-00004E280000}"/>
    <cellStyle name="Input 41 3" xfId="10319" xr:uid="{00000000-0005-0000-0000-00004F280000}"/>
    <cellStyle name="Input 41 3 2" xfId="10320" xr:uid="{00000000-0005-0000-0000-000050280000}"/>
    <cellStyle name="Input 41 4" xfId="10321" xr:uid="{00000000-0005-0000-0000-000051280000}"/>
    <cellStyle name="Input 42" xfId="10322" xr:uid="{00000000-0005-0000-0000-000052280000}"/>
    <cellStyle name="Input 42 2" xfId="10323" xr:uid="{00000000-0005-0000-0000-000053280000}"/>
    <cellStyle name="Input 42 2 2" xfId="10324" xr:uid="{00000000-0005-0000-0000-000054280000}"/>
    <cellStyle name="Input 42 2 2 2" xfId="10325" xr:uid="{00000000-0005-0000-0000-000055280000}"/>
    <cellStyle name="Input 42 2 3" xfId="10326" xr:uid="{00000000-0005-0000-0000-000056280000}"/>
    <cellStyle name="Input 42 3" xfId="10327" xr:uid="{00000000-0005-0000-0000-000057280000}"/>
    <cellStyle name="Input 42 3 2" xfId="10328" xr:uid="{00000000-0005-0000-0000-000058280000}"/>
    <cellStyle name="Input 42 4" xfId="10329" xr:uid="{00000000-0005-0000-0000-000059280000}"/>
    <cellStyle name="Input 43" xfId="10330" xr:uid="{00000000-0005-0000-0000-00005A280000}"/>
    <cellStyle name="Input 43 2" xfId="10331" xr:uid="{00000000-0005-0000-0000-00005B280000}"/>
    <cellStyle name="Input 43 2 2" xfId="10332" xr:uid="{00000000-0005-0000-0000-00005C280000}"/>
    <cellStyle name="Input 43 2 2 2" xfId="10333" xr:uid="{00000000-0005-0000-0000-00005D280000}"/>
    <cellStyle name="Input 43 2 3" xfId="10334" xr:uid="{00000000-0005-0000-0000-00005E280000}"/>
    <cellStyle name="Input 43 3" xfId="10335" xr:uid="{00000000-0005-0000-0000-00005F280000}"/>
    <cellStyle name="Input 43 3 2" xfId="10336" xr:uid="{00000000-0005-0000-0000-000060280000}"/>
    <cellStyle name="Input 43 4" xfId="10337" xr:uid="{00000000-0005-0000-0000-000061280000}"/>
    <cellStyle name="Input 44" xfId="10338" xr:uid="{00000000-0005-0000-0000-000062280000}"/>
    <cellStyle name="Input 44 2" xfId="10339" xr:uid="{00000000-0005-0000-0000-000063280000}"/>
    <cellStyle name="Input 44 2 2" xfId="10340" xr:uid="{00000000-0005-0000-0000-000064280000}"/>
    <cellStyle name="Input 44 2 2 2" xfId="10341" xr:uid="{00000000-0005-0000-0000-000065280000}"/>
    <cellStyle name="Input 44 2 3" xfId="10342" xr:uid="{00000000-0005-0000-0000-000066280000}"/>
    <cellStyle name="Input 44 3" xfId="10343" xr:uid="{00000000-0005-0000-0000-000067280000}"/>
    <cellStyle name="Input 44 3 2" xfId="10344" xr:uid="{00000000-0005-0000-0000-000068280000}"/>
    <cellStyle name="Input 44 4" xfId="10345" xr:uid="{00000000-0005-0000-0000-000069280000}"/>
    <cellStyle name="Input 45" xfId="10346" xr:uid="{00000000-0005-0000-0000-00006A280000}"/>
    <cellStyle name="Input 45 2" xfId="10347" xr:uid="{00000000-0005-0000-0000-00006B280000}"/>
    <cellStyle name="Input 45 2 2" xfId="10348" xr:uid="{00000000-0005-0000-0000-00006C280000}"/>
    <cellStyle name="Input 45 2 2 2" xfId="10349" xr:uid="{00000000-0005-0000-0000-00006D280000}"/>
    <cellStyle name="Input 45 2 3" xfId="10350" xr:uid="{00000000-0005-0000-0000-00006E280000}"/>
    <cellStyle name="Input 45 3" xfId="10351" xr:uid="{00000000-0005-0000-0000-00006F280000}"/>
    <cellStyle name="Input 45 3 2" xfId="10352" xr:uid="{00000000-0005-0000-0000-000070280000}"/>
    <cellStyle name="Input 45 4" xfId="10353" xr:uid="{00000000-0005-0000-0000-000071280000}"/>
    <cellStyle name="Input 46" xfId="10354" xr:uid="{00000000-0005-0000-0000-000072280000}"/>
    <cellStyle name="Input 46 2" xfId="10355" xr:uid="{00000000-0005-0000-0000-000073280000}"/>
    <cellStyle name="Input 46 2 2" xfId="10356" xr:uid="{00000000-0005-0000-0000-000074280000}"/>
    <cellStyle name="Input 46 2 2 2" xfId="10357" xr:uid="{00000000-0005-0000-0000-000075280000}"/>
    <cellStyle name="Input 46 2 3" xfId="10358" xr:uid="{00000000-0005-0000-0000-000076280000}"/>
    <cellStyle name="Input 46 3" xfId="10359" xr:uid="{00000000-0005-0000-0000-000077280000}"/>
    <cellStyle name="Input 46 3 2" xfId="10360" xr:uid="{00000000-0005-0000-0000-000078280000}"/>
    <cellStyle name="Input 46 4" xfId="10361" xr:uid="{00000000-0005-0000-0000-000079280000}"/>
    <cellStyle name="Input 47" xfId="10362" xr:uid="{00000000-0005-0000-0000-00007A280000}"/>
    <cellStyle name="Input 47 2" xfId="10363" xr:uid="{00000000-0005-0000-0000-00007B280000}"/>
    <cellStyle name="Input 47 2 2" xfId="10364" xr:uid="{00000000-0005-0000-0000-00007C280000}"/>
    <cellStyle name="Input 47 2 2 2" xfId="10365" xr:uid="{00000000-0005-0000-0000-00007D280000}"/>
    <cellStyle name="Input 47 2 3" xfId="10366" xr:uid="{00000000-0005-0000-0000-00007E280000}"/>
    <cellStyle name="Input 47 3" xfId="10367" xr:uid="{00000000-0005-0000-0000-00007F280000}"/>
    <cellStyle name="Input 47 3 2" xfId="10368" xr:uid="{00000000-0005-0000-0000-000080280000}"/>
    <cellStyle name="Input 47 4" xfId="10369" xr:uid="{00000000-0005-0000-0000-000081280000}"/>
    <cellStyle name="Input 48" xfId="10370" xr:uid="{00000000-0005-0000-0000-000082280000}"/>
    <cellStyle name="Input 48 2" xfId="10371" xr:uid="{00000000-0005-0000-0000-000083280000}"/>
    <cellStyle name="Input 48 2 2" xfId="10372" xr:uid="{00000000-0005-0000-0000-000084280000}"/>
    <cellStyle name="Input 48 2 2 2" xfId="10373" xr:uid="{00000000-0005-0000-0000-000085280000}"/>
    <cellStyle name="Input 48 2 3" xfId="10374" xr:uid="{00000000-0005-0000-0000-000086280000}"/>
    <cellStyle name="Input 48 3" xfId="10375" xr:uid="{00000000-0005-0000-0000-000087280000}"/>
    <cellStyle name="Input 48 3 2" xfId="10376" xr:uid="{00000000-0005-0000-0000-000088280000}"/>
    <cellStyle name="Input 48 3 2 2" xfId="10377" xr:uid="{00000000-0005-0000-0000-000089280000}"/>
    <cellStyle name="Input 48 3 2 2 2" xfId="10378" xr:uid="{00000000-0005-0000-0000-00008A280000}"/>
    <cellStyle name="Input 48 3 2 3" xfId="10379" xr:uid="{00000000-0005-0000-0000-00008B280000}"/>
    <cellStyle name="Input 48 3 3" xfId="10380" xr:uid="{00000000-0005-0000-0000-00008C280000}"/>
    <cellStyle name="Input 48 3 3 2" xfId="10381" xr:uid="{00000000-0005-0000-0000-00008D280000}"/>
    <cellStyle name="Input 48 3 4" xfId="10382" xr:uid="{00000000-0005-0000-0000-00008E280000}"/>
    <cellStyle name="Input 48 4" xfId="10383" xr:uid="{00000000-0005-0000-0000-00008F280000}"/>
    <cellStyle name="Input 48 4 2" xfId="10384" xr:uid="{00000000-0005-0000-0000-000090280000}"/>
    <cellStyle name="Input 48 5" xfId="10385" xr:uid="{00000000-0005-0000-0000-000091280000}"/>
    <cellStyle name="Input 49" xfId="10386" xr:uid="{00000000-0005-0000-0000-000092280000}"/>
    <cellStyle name="Input 49 2" xfId="10387" xr:uid="{00000000-0005-0000-0000-000093280000}"/>
    <cellStyle name="Input 49 2 2" xfId="10388" xr:uid="{00000000-0005-0000-0000-000094280000}"/>
    <cellStyle name="Input 49 2 2 2" xfId="10389" xr:uid="{00000000-0005-0000-0000-000095280000}"/>
    <cellStyle name="Input 49 2 3" xfId="10390" xr:uid="{00000000-0005-0000-0000-000096280000}"/>
    <cellStyle name="Input 49 3" xfId="10391" xr:uid="{00000000-0005-0000-0000-000097280000}"/>
    <cellStyle name="Input 49 3 2" xfId="10392" xr:uid="{00000000-0005-0000-0000-000098280000}"/>
    <cellStyle name="Input 49 3 2 2" xfId="10393" xr:uid="{00000000-0005-0000-0000-000099280000}"/>
    <cellStyle name="Input 49 3 2 2 2" xfId="10394" xr:uid="{00000000-0005-0000-0000-00009A280000}"/>
    <cellStyle name="Input 49 3 2 3" xfId="10395" xr:uid="{00000000-0005-0000-0000-00009B280000}"/>
    <cellStyle name="Input 49 3 3" xfId="10396" xr:uid="{00000000-0005-0000-0000-00009C280000}"/>
    <cellStyle name="Input 49 3 3 2" xfId="10397" xr:uid="{00000000-0005-0000-0000-00009D280000}"/>
    <cellStyle name="Input 49 3 4" xfId="10398" xr:uid="{00000000-0005-0000-0000-00009E280000}"/>
    <cellStyle name="Input 49 4" xfId="10399" xr:uid="{00000000-0005-0000-0000-00009F280000}"/>
    <cellStyle name="Input 49 4 2" xfId="10400" xr:uid="{00000000-0005-0000-0000-0000A0280000}"/>
    <cellStyle name="Input 49 5" xfId="10401" xr:uid="{00000000-0005-0000-0000-0000A1280000}"/>
    <cellStyle name="Input 5" xfId="10402" xr:uid="{00000000-0005-0000-0000-0000A2280000}"/>
    <cellStyle name="Input 5 2" xfId="10403" xr:uid="{00000000-0005-0000-0000-0000A3280000}"/>
    <cellStyle name="Input 5 2 2" xfId="10404" xr:uid="{00000000-0005-0000-0000-0000A4280000}"/>
    <cellStyle name="Input 5 2 2 2" xfId="10405" xr:uid="{00000000-0005-0000-0000-0000A5280000}"/>
    <cellStyle name="Input 5 2 2 2 2" xfId="10406" xr:uid="{00000000-0005-0000-0000-0000A6280000}"/>
    <cellStyle name="Input 5 2 2 3" xfId="10407" xr:uid="{00000000-0005-0000-0000-0000A7280000}"/>
    <cellStyle name="Input 5 2 3" xfId="10408" xr:uid="{00000000-0005-0000-0000-0000A8280000}"/>
    <cellStyle name="Input 5 2 3 2" xfId="10409" xr:uid="{00000000-0005-0000-0000-0000A9280000}"/>
    <cellStyle name="Input 5 2 3 2 2" xfId="10410" xr:uid="{00000000-0005-0000-0000-0000AA280000}"/>
    <cellStyle name="Input 5 2 3 2 2 2" xfId="10411" xr:uid="{00000000-0005-0000-0000-0000AB280000}"/>
    <cellStyle name="Input 5 2 3 2 3" xfId="10412" xr:uid="{00000000-0005-0000-0000-0000AC280000}"/>
    <cellStyle name="Input 5 2 3 3" xfId="10413" xr:uid="{00000000-0005-0000-0000-0000AD280000}"/>
    <cellStyle name="Input 5 2 3 3 2" xfId="10414" xr:uid="{00000000-0005-0000-0000-0000AE280000}"/>
    <cellStyle name="Input 5 2 3 4" xfId="10415" xr:uid="{00000000-0005-0000-0000-0000AF280000}"/>
    <cellStyle name="Input 5 2 4" xfId="10416" xr:uid="{00000000-0005-0000-0000-0000B0280000}"/>
    <cellStyle name="Input 5 2 4 2" xfId="10417" xr:uid="{00000000-0005-0000-0000-0000B1280000}"/>
    <cellStyle name="Input 5 2 5" xfId="10418" xr:uid="{00000000-0005-0000-0000-0000B2280000}"/>
    <cellStyle name="Input 5 3" xfId="10419" xr:uid="{00000000-0005-0000-0000-0000B3280000}"/>
    <cellStyle name="Input 5 3 2" xfId="10420" xr:uid="{00000000-0005-0000-0000-0000B4280000}"/>
    <cellStyle name="Input 5 3 2 2" xfId="10421" xr:uid="{00000000-0005-0000-0000-0000B5280000}"/>
    <cellStyle name="Input 5 3 2 2 2" xfId="10422" xr:uid="{00000000-0005-0000-0000-0000B6280000}"/>
    <cellStyle name="Input 5 3 2 3" xfId="10423" xr:uid="{00000000-0005-0000-0000-0000B7280000}"/>
    <cellStyle name="Input 5 3 3" xfId="10424" xr:uid="{00000000-0005-0000-0000-0000B8280000}"/>
    <cellStyle name="Input 5 3 3 2" xfId="10425" xr:uid="{00000000-0005-0000-0000-0000B9280000}"/>
    <cellStyle name="Input 5 3 3 2 2" xfId="10426" xr:uid="{00000000-0005-0000-0000-0000BA280000}"/>
    <cellStyle name="Input 5 3 3 2 2 2" xfId="10427" xr:uid="{00000000-0005-0000-0000-0000BB280000}"/>
    <cellStyle name="Input 5 3 3 2 3" xfId="10428" xr:uid="{00000000-0005-0000-0000-0000BC280000}"/>
    <cellStyle name="Input 5 3 3 3" xfId="10429" xr:uid="{00000000-0005-0000-0000-0000BD280000}"/>
    <cellStyle name="Input 5 3 3 3 2" xfId="10430" xr:uid="{00000000-0005-0000-0000-0000BE280000}"/>
    <cellStyle name="Input 5 3 3 4" xfId="10431" xr:uid="{00000000-0005-0000-0000-0000BF280000}"/>
    <cellStyle name="Input 5 3 4" xfId="10432" xr:uid="{00000000-0005-0000-0000-0000C0280000}"/>
    <cellStyle name="Input 5 3 4 2" xfId="10433" xr:uid="{00000000-0005-0000-0000-0000C1280000}"/>
    <cellStyle name="Input 5 3 5" xfId="10434" xr:uid="{00000000-0005-0000-0000-0000C2280000}"/>
    <cellStyle name="Input 5 4" xfId="10435" xr:uid="{00000000-0005-0000-0000-0000C3280000}"/>
    <cellStyle name="Input 5 4 2" xfId="10436" xr:uid="{00000000-0005-0000-0000-0000C4280000}"/>
    <cellStyle name="Input 5 4 2 2" xfId="10437" xr:uid="{00000000-0005-0000-0000-0000C5280000}"/>
    <cellStyle name="Input 5 4 3" xfId="10438" xr:uid="{00000000-0005-0000-0000-0000C6280000}"/>
    <cellStyle name="Input 5 5" xfId="10439" xr:uid="{00000000-0005-0000-0000-0000C7280000}"/>
    <cellStyle name="Input 5 5 2" xfId="10440" xr:uid="{00000000-0005-0000-0000-0000C8280000}"/>
    <cellStyle name="Input 5 5 2 2" xfId="10441" xr:uid="{00000000-0005-0000-0000-0000C9280000}"/>
    <cellStyle name="Input 5 5 2 2 2" xfId="10442" xr:uid="{00000000-0005-0000-0000-0000CA280000}"/>
    <cellStyle name="Input 5 5 2 2 2 2" xfId="10443" xr:uid="{00000000-0005-0000-0000-0000CB280000}"/>
    <cellStyle name="Input 5 5 2 2 2 2 2" xfId="10444" xr:uid="{00000000-0005-0000-0000-0000CC280000}"/>
    <cellStyle name="Input 5 5 2 2 2 3" xfId="10445" xr:uid="{00000000-0005-0000-0000-0000CD280000}"/>
    <cellStyle name="Input 5 5 2 2 3" xfId="10446" xr:uid="{00000000-0005-0000-0000-0000CE280000}"/>
    <cellStyle name="Input 5 5 2 2 3 2" xfId="10447" xr:uid="{00000000-0005-0000-0000-0000CF280000}"/>
    <cellStyle name="Input 5 5 2 2 4" xfId="10448" xr:uid="{00000000-0005-0000-0000-0000D0280000}"/>
    <cellStyle name="Input 5 5 2 3" xfId="10449" xr:uid="{00000000-0005-0000-0000-0000D1280000}"/>
    <cellStyle name="Input 5 5 2 3 2" xfId="10450" xr:uid="{00000000-0005-0000-0000-0000D2280000}"/>
    <cellStyle name="Input 5 5 2 3 2 2" xfId="10451" xr:uid="{00000000-0005-0000-0000-0000D3280000}"/>
    <cellStyle name="Input 5 5 2 3 3" xfId="10452" xr:uid="{00000000-0005-0000-0000-0000D4280000}"/>
    <cellStyle name="Input 5 5 2 4" xfId="10453" xr:uid="{00000000-0005-0000-0000-0000D5280000}"/>
    <cellStyle name="Input 5 5 2 4 2" xfId="10454" xr:uid="{00000000-0005-0000-0000-0000D6280000}"/>
    <cellStyle name="Input 5 5 2 5" xfId="10455" xr:uid="{00000000-0005-0000-0000-0000D7280000}"/>
    <cellStyle name="Input 5 5 3" xfId="10456" xr:uid="{00000000-0005-0000-0000-0000D8280000}"/>
    <cellStyle name="Input 5 5 3 2" xfId="10457" xr:uid="{00000000-0005-0000-0000-0000D9280000}"/>
    <cellStyle name="Input 5 5 3 2 2" xfId="10458" xr:uid="{00000000-0005-0000-0000-0000DA280000}"/>
    <cellStyle name="Input 5 5 3 2 2 2" xfId="10459" xr:uid="{00000000-0005-0000-0000-0000DB280000}"/>
    <cellStyle name="Input 5 5 3 2 3" xfId="10460" xr:uid="{00000000-0005-0000-0000-0000DC280000}"/>
    <cellStyle name="Input 5 5 3 3" xfId="10461" xr:uid="{00000000-0005-0000-0000-0000DD280000}"/>
    <cellStyle name="Input 5 5 3 3 2" xfId="10462" xr:uid="{00000000-0005-0000-0000-0000DE280000}"/>
    <cellStyle name="Input 5 5 3 4" xfId="10463" xr:uid="{00000000-0005-0000-0000-0000DF280000}"/>
    <cellStyle name="Input 5 5 4" xfId="10464" xr:uid="{00000000-0005-0000-0000-0000E0280000}"/>
    <cellStyle name="Input 5 5 4 2" xfId="10465" xr:uid="{00000000-0005-0000-0000-0000E1280000}"/>
    <cellStyle name="Input 5 5 4 2 2" xfId="10466" xr:uid="{00000000-0005-0000-0000-0000E2280000}"/>
    <cellStyle name="Input 5 5 4 3" xfId="10467" xr:uid="{00000000-0005-0000-0000-0000E3280000}"/>
    <cellStyle name="Input 5 5 5" xfId="10468" xr:uid="{00000000-0005-0000-0000-0000E4280000}"/>
    <cellStyle name="Input 5 5 5 2" xfId="10469" xr:uid="{00000000-0005-0000-0000-0000E5280000}"/>
    <cellStyle name="Input 5 5 6" xfId="10470" xr:uid="{00000000-0005-0000-0000-0000E6280000}"/>
    <cellStyle name="Input 5 6" xfId="10471" xr:uid="{00000000-0005-0000-0000-0000E7280000}"/>
    <cellStyle name="Input 5 6 2" xfId="10472" xr:uid="{00000000-0005-0000-0000-0000E8280000}"/>
    <cellStyle name="Input 5 7" xfId="10473" xr:uid="{00000000-0005-0000-0000-0000E9280000}"/>
    <cellStyle name="Input 50" xfId="10474" xr:uid="{00000000-0005-0000-0000-0000EA280000}"/>
    <cellStyle name="Input 50 2" xfId="10475" xr:uid="{00000000-0005-0000-0000-0000EB280000}"/>
    <cellStyle name="Input 50 2 2" xfId="10476" xr:uid="{00000000-0005-0000-0000-0000EC280000}"/>
    <cellStyle name="Input 50 2 2 2" xfId="10477" xr:uid="{00000000-0005-0000-0000-0000ED280000}"/>
    <cellStyle name="Input 50 2 3" xfId="10478" xr:uid="{00000000-0005-0000-0000-0000EE280000}"/>
    <cellStyle name="Input 50 3" xfId="10479" xr:uid="{00000000-0005-0000-0000-0000EF280000}"/>
    <cellStyle name="Input 50 3 2" xfId="10480" xr:uid="{00000000-0005-0000-0000-0000F0280000}"/>
    <cellStyle name="Input 50 3 2 2" xfId="10481" xr:uid="{00000000-0005-0000-0000-0000F1280000}"/>
    <cellStyle name="Input 50 3 2 2 2" xfId="10482" xr:uid="{00000000-0005-0000-0000-0000F2280000}"/>
    <cellStyle name="Input 50 3 2 3" xfId="10483" xr:uid="{00000000-0005-0000-0000-0000F3280000}"/>
    <cellStyle name="Input 50 3 3" xfId="10484" xr:uid="{00000000-0005-0000-0000-0000F4280000}"/>
    <cellStyle name="Input 50 3 3 2" xfId="10485" xr:uid="{00000000-0005-0000-0000-0000F5280000}"/>
    <cellStyle name="Input 50 3 4" xfId="10486" xr:uid="{00000000-0005-0000-0000-0000F6280000}"/>
    <cellStyle name="Input 50 4" xfId="10487" xr:uid="{00000000-0005-0000-0000-0000F7280000}"/>
    <cellStyle name="Input 50 4 2" xfId="10488" xr:uid="{00000000-0005-0000-0000-0000F8280000}"/>
    <cellStyle name="Input 50 5" xfId="10489" xr:uid="{00000000-0005-0000-0000-0000F9280000}"/>
    <cellStyle name="Input 51" xfId="10490" xr:uid="{00000000-0005-0000-0000-0000FA280000}"/>
    <cellStyle name="Input 51 2" xfId="10491" xr:uid="{00000000-0005-0000-0000-0000FB280000}"/>
    <cellStyle name="Input 51 2 2" xfId="10492" xr:uid="{00000000-0005-0000-0000-0000FC280000}"/>
    <cellStyle name="Input 51 2 2 2" xfId="10493" xr:uid="{00000000-0005-0000-0000-0000FD280000}"/>
    <cellStyle name="Input 51 2 3" xfId="10494" xr:uid="{00000000-0005-0000-0000-0000FE280000}"/>
    <cellStyle name="Input 51 3" xfId="10495" xr:uid="{00000000-0005-0000-0000-0000FF280000}"/>
    <cellStyle name="Input 51 3 2" xfId="10496" xr:uid="{00000000-0005-0000-0000-000000290000}"/>
    <cellStyle name="Input 51 3 2 2" xfId="10497" xr:uid="{00000000-0005-0000-0000-000001290000}"/>
    <cellStyle name="Input 51 3 2 2 2" xfId="10498" xr:uid="{00000000-0005-0000-0000-000002290000}"/>
    <cellStyle name="Input 51 3 2 3" xfId="10499" xr:uid="{00000000-0005-0000-0000-000003290000}"/>
    <cellStyle name="Input 51 3 3" xfId="10500" xr:uid="{00000000-0005-0000-0000-000004290000}"/>
    <cellStyle name="Input 51 3 3 2" xfId="10501" xr:uid="{00000000-0005-0000-0000-000005290000}"/>
    <cellStyle name="Input 51 3 4" xfId="10502" xr:uid="{00000000-0005-0000-0000-000006290000}"/>
    <cellStyle name="Input 51 4" xfId="10503" xr:uid="{00000000-0005-0000-0000-000007290000}"/>
    <cellStyle name="Input 51 4 2" xfId="10504" xr:uid="{00000000-0005-0000-0000-000008290000}"/>
    <cellStyle name="Input 51 5" xfId="10505" xr:uid="{00000000-0005-0000-0000-000009290000}"/>
    <cellStyle name="Input 52" xfId="10506" xr:uid="{00000000-0005-0000-0000-00000A290000}"/>
    <cellStyle name="Input 52 2" xfId="10507" xr:uid="{00000000-0005-0000-0000-00000B290000}"/>
    <cellStyle name="Input 52 2 2" xfId="10508" xr:uid="{00000000-0005-0000-0000-00000C290000}"/>
    <cellStyle name="Input 52 2 2 2" xfId="10509" xr:uid="{00000000-0005-0000-0000-00000D290000}"/>
    <cellStyle name="Input 52 2 3" xfId="10510" xr:uid="{00000000-0005-0000-0000-00000E290000}"/>
    <cellStyle name="Input 52 3" xfId="10511" xr:uid="{00000000-0005-0000-0000-00000F290000}"/>
    <cellStyle name="Input 52 3 2" xfId="10512" xr:uid="{00000000-0005-0000-0000-000010290000}"/>
    <cellStyle name="Input 52 4" xfId="10513" xr:uid="{00000000-0005-0000-0000-000011290000}"/>
    <cellStyle name="Input 53" xfId="10514" xr:uid="{00000000-0005-0000-0000-000012290000}"/>
    <cellStyle name="Input 53 2" xfId="10515" xr:uid="{00000000-0005-0000-0000-000013290000}"/>
    <cellStyle name="Input 53 2 2" xfId="10516" xr:uid="{00000000-0005-0000-0000-000014290000}"/>
    <cellStyle name="Input 53 2 2 2" xfId="10517" xr:uid="{00000000-0005-0000-0000-000015290000}"/>
    <cellStyle name="Input 53 2 3" xfId="10518" xr:uid="{00000000-0005-0000-0000-000016290000}"/>
    <cellStyle name="Input 53 3" xfId="10519" xr:uid="{00000000-0005-0000-0000-000017290000}"/>
    <cellStyle name="Input 53 3 2" xfId="10520" xr:uid="{00000000-0005-0000-0000-000018290000}"/>
    <cellStyle name="Input 53 4" xfId="10521" xr:uid="{00000000-0005-0000-0000-000019290000}"/>
    <cellStyle name="Input 54" xfId="10522" xr:uid="{00000000-0005-0000-0000-00001A290000}"/>
    <cellStyle name="Input 54 2" xfId="10523" xr:uid="{00000000-0005-0000-0000-00001B290000}"/>
    <cellStyle name="Input 54 2 2" xfId="10524" xr:uid="{00000000-0005-0000-0000-00001C290000}"/>
    <cellStyle name="Input 54 2 2 2" xfId="10525" xr:uid="{00000000-0005-0000-0000-00001D290000}"/>
    <cellStyle name="Input 54 2 3" xfId="10526" xr:uid="{00000000-0005-0000-0000-00001E290000}"/>
    <cellStyle name="Input 54 3" xfId="10527" xr:uid="{00000000-0005-0000-0000-00001F290000}"/>
    <cellStyle name="Input 54 3 2" xfId="10528" xr:uid="{00000000-0005-0000-0000-000020290000}"/>
    <cellStyle name="Input 54 4" xfId="10529" xr:uid="{00000000-0005-0000-0000-000021290000}"/>
    <cellStyle name="Input 55" xfId="10530" xr:uid="{00000000-0005-0000-0000-000022290000}"/>
    <cellStyle name="Input 55 2" xfId="10531" xr:uid="{00000000-0005-0000-0000-000023290000}"/>
    <cellStyle name="Input 55 2 2" xfId="10532" xr:uid="{00000000-0005-0000-0000-000024290000}"/>
    <cellStyle name="Input 55 2 2 2" xfId="10533" xr:uid="{00000000-0005-0000-0000-000025290000}"/>
    <cellStyle name="Input 55 2 3" xfId="10534" xr:uid="{00000000-0005-0000-0000-000026290000}"/>
    <cellStyle name="Input 55 3" xfId="10535" xr:uid="{00000000-0005-0000-0000-000027290000}"/>
    <cellStyle name="Input 55 3 2" xfId="10536" xr:uid="{00000000-0005-0000-0000-000028290000}"/>
    <cellStyle name="Input 55 4" xfId="10537" xr:uid="{00000000-0005-0000-0000-000029290000}"/>
    <cellStyle name="Input 56" xfId="10538" xr:uid="{00000000-0005-0000-0000-00002A290000}"/>
    <cellStyle name="Input 56 2" xfId="10539" xr:uid="{00000000-0005-0000-0000-00002B290000}"/>
    <cellStyle name="Input 56 2 2" xfId="10540" xr:uid="{00000000-0005-0000-0000-00002C290000}"/>
    <cellStyle name="Input 56 2 2 2" xfId="10541" xr:uid="{00000000-0005-0000-0000-00002D290000}"/>
    <cellStyle name="Input 56 2 3" xfId="10542" xr:uid="{00000000-0005-0000-0000-00002E290000}"/>
    <cellStyle name="Input 56 3" xfId="10543" xr:uid="{00000000-0005-0000-0000-00002F290000}"/>
    <cellStyle name="Input 56 3 2" xfId="10544" xr:uid="{00000000-0005-0000-0000-000030290000}"/>
    <cellStyle name="Input 56 4" xfId="10545" xr:uid="{00000000-0005-0000-0000-000031290000}"/>
    <cellStyle name="Input 57" xfId="10546" xr:uid="{00000000-0005-0000-0000-000032290000}"/>
    <cellStyle name="Input 57 2" xfId="10547" xr:uid="{00000000-0005-0000-0000-000033290000}"/>
    <cellStyle name="Input 57 2 2" xfId="10548" xr:uid="{00000000-0005-0000-0000-000034290000}"/>
    <cellStyle name="Input 57 2 2 2" xfId="10549" xr:uid="{00000000-0005-0000-0000-000035290000}"/>
    <cellStyle name="Input 57 2 3" xfId="10550" xr:uid="{00000000-0005-0000-0000-000036290000}"/>
    <cellStyle name="Input 57 3" xfId="10551" xr:uid="{00000000-0005-0000-0000-000037290000}"/>
    <cellStyle name="Input 57 3 2" xfId="10552" xr:uid="{00000000-0005-0000-0000-000038290000}"/>
    <cellStyle name="Input 57 4" xfId="10553" xr:uid="{00000000-0005-0000-0000-000039290000}"/>
    <cellStyle name="Input 58" xfId="10554" xr:uid="{00000000-0005-0000-0000-00003A290000}"/>
    <cellStyle name="Input 58 2" xfId="10555" xr:uid="{00000000-0005-0000-0000-00003B290000}"/>
    <cellStyle name="Input 58 2 2" xfId="10556" xr:uid="{00000000-0005-0000-0000-00003C290000}"/>
    <cellStyle name="Input 58 2 2 2" xfId="10557" xr:uid="{00000000-0005-0000-0000-00003D290000}"/>
    <cellStyle name="Input 58 2 3" xfId="10558" xr:uid="{00000000-0005-0000-0000-00003E290000}"/>
    <cellStyle name="Input 58 3" xfId="10559" xr:uid="{00000000-0005-0000-0000-00003F290000}"/>
    <cellStyle name="Input 58 3 2" xfId="10560" xr:uid="{00000000-0005-0000-0000-000040290000}"/>
    <cellStyle name="Input 58 3 2 2" xfId="10561" xr:uid="{00000000-0005-0000-0000-000041290000}"/>
    <cellStyle name="Input 58 3 2 2 2" xfId="10562" xr:uid="{00000000-0005-0000-0000-000042290000}"/>
    <cellStyle name="Input 58 3 2 3" xfId="10563" xr:uid="{00000000-0005-0000-0000-000043290000}"/>
    <cellStyle name="Input 58 3 3" xfId="10564" xr:uid="{00000000-0005-0000-0000-000044290000}"/>
    <cellStyle name="Input 58 3 3 2" xfId="10565" xr:uid="{00000000-0005-0000-0000-000045290000}"/>
    <cellStyle name="Input 58 3 4" xfId="10566" xr:uid="{00000000-0005-0000-0000-000046290000}"/>
    <cellStyle name="Input 58 4" xfId="10567" xr:uid="{00000000-0005-0000-0000-000047290000}"/>
    <cellStyle name="Input 58 4 2" xfId="10568" xr:uid="{00000000-0005-0000-0000-000048290000}"/>
    <cellStyle name="Input 58 5" xfId="10569" xr:uid="{00000000-0005-0000-0000-000049290000}"/>
    <cellStyle name="Input 59" xfId="10570" xr:uid="{00000000-0005-0000-0000-00004A290000}"/>
    <cellStyle name="Input 59 2" xfId="10571" xr:uid="{00000000-0005-0000-0000-00004B290000}"/>
    <cellStyle name="Input 59 2 2" xfId="10572" xr:uid="{00000000-0005-0000-0000-00004C290000}"/>
    <cellStyle name="Input 59 2 2 2" xfId="10573" xr:uid="{00000000-0005-0000-0000-00004D290000}"/>
    <cellStyle name="Input 59 2 3" xfId="10574" xr:uid="{00000000-0005-0000-0000-00004E290000}"/>
    <cellStyle name="Input 59 3" xfId="10575" xr:uid="{00000000-0005-0000-0000-00004F290000}"/>
    <cellStyle name="Input 59 3 2" xfId="10576" xr:uid="{00000000-0005-0000-0000-000050290000}"/>
    <cellStyle name="Input 59 3 2 2" xfId="10577" xr:uid="{00000000-0005-0000-0000-000051290000}"/>
    <cellStyle name="Input 59 3 2 2 2" xfId="10578" xr:uid="{00000000-0005-0000-0000-000052290000}"/>
    <cellStyle name="Input 59 3 2 3" xfId="10579" xr:uid="{00000000-0005-0000-0000-000053290000}"/>
    <cellStyle name="Input 59 3 3" xfId="10580" xr:uid="{00000000-0005-0000-0000-000054290000}"/>
    <cellStyle name="Input 59 3 3 2" xfId="10581" xr:uid="{00000000-0005-0000-0000-000055290000}"/>
    <cellStyle name="Input 59 3 4" xfId="10582" xr:uid="{00000000-0005-0000-0000-000056290000}"/>
    <cellStyle name="Input 59 4" xfId="10583" xr:uid="{00000000-0005-0000-0000-000057290000}"/>
    <cellStyle name="Input 59 4 2" xfId="10584" xr:uid="{00000000-0005-0000-0000-000058290000}"/>
    <cellStyle name="Input 59 5" xfId="10585" xr:uid="{00000000-0005-0000-0000-000059290000}"/>
    <cellStyle name="Input 6" xfId="10586" xr:uid="{00000000-0005-0000-0000-00005A290000}"/>
    <cellStyle name="Input 6 2" xfId="10587" xr:uid="{00000000-0005-0000-0000-00005B290000}"/>
    <cellStyle name="Input 6 2 2" xfId="10588" xr:uid="{00000000-0005-0000-0000-00005C290000}"/>
    <cellStyle name="Input 6 2 2 2" xfId="10589" xr:uid="{00000000-0005-0000-0000-00005D290000}"/>
    <cellStyle name="Input 6 2 2 2 2" xfId="10590" xr:uid="{00000000-0005-0000-0000-00005E290000}"/>
    <cellStyle name="Input 6 2 2 3" xfId="10591" xr:uid="{00000000-0005-0000-0000-00005F290000}"/>
    <cellStyle name="Input 6 2 3" xfId="10592" xr:uid="{00000000-0005-0000-0000-000060290000}"/>
    <cellStyle name="Input 6 2 3 2" xfId="10593" xr:uid="{00000000-0005-0000-0000-000061290000}"/>
    <cellStyle name="Input 6 2 3 2 2" xfId="10594" xr:uid="{00000000-0005-0000-0000-000062290000}"/>
    <cellStyle name="Input 6 2 3 2 2 2" xfId="10595" xr:uid="{00000000-0005-0000-0000-000063290000}"/>
    <cellStyle name="Input 6 2 3 2 3" xfId="10596" xr:uid="{00000000-0005-0000-0000-000064290000}"/>
    <cellStyle name="Input 6 2 3 3" xfId="10597" xr:uid="{00000000-0005-0000-0000-000065290000}"/>
    <cellStyle name="Input 6 2 3 3 2" xfId="10598" xr:uid="{00000000-0005-0000-0000-000066290000}"/>
    <cellStyle name="Input 6 2 3 4" xfId="10599" xr:uid="{00000000-0005-0000-0000-000067290000}"/>
    <cellStyle name="Input 6 2 4" xfId="10600" xr:uid="{00000000-0005-0000-0000-000068290000}"/>
    <cellStyle name="Input 6 2 4 2" xfId="10601" xr:uid="{00000000-0005-0000-0000-000069290000}"/>
    <cellStyle name="Input 6 2 5" xfId="10602" xr:uid="{00000000-0005-0000-0000-00006A290000}"/>
    <cellStyle name="Input 6 3" xfId="10603" xr:uid="{00000000-0005-0000-0000-00006B290000}"/>
    <cellStyle name="Input 6 3 2" xfId="10604" xr:uid="{00000000-0005-0000-0000-00006C290000}"/>
    <cellStyle name="Input 6 3 2 2" xfId="10605" xr:uid="{00000000-0005-0000-0000-00006D290000}"/>
    <cellStyle name="Input 6 3 3" xfId="10606" xr:uid="{00000000-0005-0000-0000-00006E290000}"/>
    <cellStyle name="Input 6 4" xfId="10607" xr:uid="{00000000-0005-0000-0000-00006F290000}"/>
    <cellStyle name="Input 6 4 2" xfId="10608" xr:uid="{00000000-0005-0000-0000-000070290000}"/>
    <cellStyle name="Input 6 4 2 2" xfId="10609" xr:uid="{00000000-0005-0000-0000-000071290000}"/>
    <cellStyle name="Input 6 4 2 2 2" xfId="10610" xr:uid="{00000000-0005-0000-0000-000072290000}"/>
    <cellStyle name="Input 6 4 2 2 2 2" xfId="10611" xr:uid="{00000000-0005-0000-0000-000073290000}"/>
    <cellStyle name="Input 6 4 2 2 2 2 2" xfId="10612" xr:uid="{00000000-0005-0000-0000-000074290000}"/>
    <cellStyle name="Input 6 4 2 2 2 3" xfId="10613" xr:uid="{00000000-0005-0000-0000-000075290000}"/>
    <cellStyle name="Input 6 4 2 2 3" xfId="10614" xr:uid="{00000000-0005-0000-0000-000076290000}"/>
    <cellStyle name="Input 6 4 2 2 3 2" xfId="10615" xr:uid="{00000000-0005-0000-0000-000077290000}"/>
    <cellStyle name="Input 6 4 2 2 4" xfId="10616" xr:uid="{00000000-0005-0000-0000-000078290000}"/>
    <cellStyle name="Input 6 4 2 3" xfId="10617" xr:uid="{00000000-0005-0000-0000-000079290000}"/>
    <cellStyle name="Input 6 4 2 3 2" xfId="10618" xr:uid="{00000000-0005-0000-0000-00007A290000}"/>
    <cellStyle name="Input 6 4 2 3 2 2" xfId="10619" xr:uid="{00000000-0005-0000-0000-00007B290000}"/>
    <cellStyle name="Input 6 4 2 3 3" xfId="10620" xr:uid="{00000000-0005-0000-0000-00007C290000}"/>
    <cellStyle name="Input 6 4 2 4" xfId="10621" xr:uid="{00000000-0005-0000-0000-00007D290000}"/>
    <cellStyle name="Input 6 4 2 4 2" xfId="10622" xr:uid="{00000000-0005-0000-0000-00007E290000}"/>
    <cellStyle name="Input 6 4 2 5" xfId="10623" xr:uid="{00000000-0005-0000-0000-00007F290000}"/>
    <cellStyle name="Input 6 4 3" xfId="10624" xr:uid="{00000000-0005-0000-0000-000080290000}"/>
    <cellStyle name="Input 6 4 3 2" xfId="10625" xr:uid="{00000000-0005-0000-0000-000081290000}"/>
    <cellStyle name="Input 6 4 3 2 2" xfId="10626" xr:uid="{00000000-0005-0000-0000-000082290000}"/>
    <cellStyle name="Input 6 4 3 2 2 2" xfId="10627" xr:uid="{00000000-0005-0000-0000-000083290000}"/>
    <cellStyle name="Input 6 4 3 2 3" xfId="10628" xr:uid="{00000000-0005-0000-0000-000084290000}"/>
    <cellStyle name="Input 6 4 3 3" xfId="10629" xr:uid="{00000000-0005-0000-0000-000085290000}"/>
    <cellStyle name="Input 6 4 3 3 2" xfId="10630" xr:uid="{00000000-0005-0000-0000-000086290000}"/>
    <cellStyle name="Input 6 4 3 4" xfId="10631" xr:uid="{00000000-0005-0000-0000-000087290000}"/>
    <cellStyle name="Input 6 4 4" xfId="10632" xr:uid="{00000000-0005-0000-0000-000088290000}"/>
    <cellStyle name="Input 6 4 4 2" xfId="10633" xr:uid="{00000000-0005-0000-0000-000089290000}"/>
    <cellStyle name="Input 6 4 4 2 2" xfId="10634" xr:uid="{00000000-0005-0000-0000-00008A290000}"/>
    <cellStyle name="Input 6 4 4 3" xfId="10635" xr:uid="{00000000-0005-0000-0000-00008B290000}"/>
    <cellStyle name="Input 6 4 5" xfId="10636" xr:uid="{00000000-0005-0000-0000-00008C290000}"/>
    <cellStyle name="Input 6 4 5 2" xfId="10637" xr:uid="{00000000-0005-0000-0000-00008D290000}"/>
    <cellStyle name="Input 6 4 6" xfId="10638" xr:uid="{00000000-0005-0000-0000-00008E290000}"/>
    <cellStyle name="Input 6 5" xfId="10639" xr:uid="{00000000-0005-0000-0000-00008F290000}"/>
    <cellStyle name="Input 6 5 2" xfId="10640" xr:uid="{00000000-0005-0000-0000-000090290000}"/>
    <cellStyle name="Input 6 6" xfId="10641" xr:uid="{00000000-0005-0000-0000-000091290000}"/>
    <cellStyle name="Input 60" xfId="10642" xr:uid="{00000000-0005-0000-0000-000092290000}"/>
    <cellStyle name="Input 60 2" xfId="10643" xr:uid="{00000000-0005-0000-0000-000093290000}"/>
    <cellStyle name="Input 60 2 2" xfId="10644" xr:uid="{00000000-0005-0000-0000-000094290000}"/>
    <cellStyle name="Input 60 2 2 2" xfId="10645" xr:uid="{00000000-0005-0000-0000-000095290000}"/>
    <cellStyle name="Input 60 2 3" xfId="10646" xr:uid="{00000000-0005-0000-0000-000096290000}"/>
    <cellStyle name="Input 60 3" xfId="10647" xr:uid="{00000000-0005-0000-0000-000097290000}"/>
    <cellStyle name="Input 60 3 2" xfId="10648" xr:uid="{00000000-0005-0000-0000-000098290000}"/>
    <cellStyle name="Input 60 3 2 2" xfId="10649" xr:uid="{00000000-0005-0000-0000-000099290000}"/>
    <cellStyle name="Input 60 3 2 2 2" xfId="10650" xr:uid="{00000000-0005-0000-0000-00009A290000}"/>
    <cellStyle name="Input 60 3 2 3" xfId="10651" xr:uid="{00000000-0005-0000-0000-00009B290000}"/>
    <cellStyle name="Input 60 3 3" xfId="10652" xr:uid="{00000000-0005-0000-0000-00009C290000}"/>
    <cellStyle name="Input 60 3 3 2" xfId="10653" xr:uid="{00000000-0005-0000-0000-00009D290000}"/>
    <cellStyle name="Input 60 3 4" xfId="10654" xr:uid="{00000000-0005-0000-0000-00009E290000}"/>
    <cellStyle name="Input 60 4" xfId="10655" xr:uid="{00000000-0005-0000-0000-00009F290000}"/>
    <cellStyle name="Input 60 4 2" xfId="10656" xr:uid="{00000000-0005-0000-0000-0000A0290000}"/>
    <cellStyle name="Input 60 5" xfId="10657" xr:uid="{00000000-0005-0000-0000-0000A1290000}"/>
    <cellStyle name="Input 61" xfId="10658" xr:uid="{00000000-0005-0000-0000-0000A2290000}"/>
    <cellStyle name="Input 61 2" xfId="10659" xr:uid="{00000000-0005-0000-0000-0000A3290000}"/>
    <cellStyle name="Input 61 2 2" xfId="10660" xr:uid="{00000000-0005-0000-0000-0000A4290000}"/>
    <cellStyle name="Input 61 2 2 2" xfId="10661" xr:uid="{00000000-0005-0000-0000-0000A5290000}"/>
    <cellStyle name="Input 61 2 3" xfId="10662" xr:uid="{00000000-0005-0000-0000-0000A6290000}"/>
    <cellStyle name="Input 61 3" xfId="10663" xr:uid="{00000000-0005-0000-0000-0000A7290000}"/>
    <cellStyle name="Input 61 3 2" xfId="10664" xr:uid="{00000000-0005-0000-0000-0000A8290000}"/>
    <cellStyle name="Input 61 3 2 2" xfId="10665" xr:uid="{00000000-0005-0000-0000-0000A9290000}"/>
    <cellStyle name="Input 61 3 2 2 2" xfId="10666" xr:uid="{00000000-0005-0000-0000-0000AA290000}"/>
    <cellStyle name="Input 61 3 2 3" xfId="10667" xr:uid="{00000000-0005-0000-0000-0000AB290000}"/>
    <cellStyle name="Input 61 3 3" xfId="10668" xr:uid="{00000000-0005-0000-0000-0000AC290000}"/>
    <cellStyle name="Input 61 3 3 2" xfId="10669" xr:uid="{00000000-0005-0000-0000-0000AD290000}"/>
    <cellStyle name="Input 61 3 4" xfId="10670" xr:uid="{00000000-0005-0000-0000-0000AE290000}"/>
    <cellStyle name="Input 61 4" xfId="10671" xr:uid="{00000000-0005-0000-0000-0000AF290000}"/>
    <cellStyle name="Input 61 4 2" xfId="10672" xr:uid="{00000000-0005-0000-0000-0000B0290000}"/>
    <cellStyle name="Input 61 5" xfId="10673" xr:uid="{00000000-0005-0000-0000-0000B1290000}"/>
    <cellStyle name="Input 62" xfId="10674" xr:uid="{00000000-0005-0000-0000-0000B2290000}"/>
    <cellStyle name="Input 62 2" xfId="10675" xr:uid="{00000000-0005-0000-0000-0000B3290000}"/>
    <cellStyle name="Input 62 2 2" xfId="10676" xr:uid="{00000000-0005-0000-0000-0000B4290000}"/>
    <cellStyle name="Input 62 2 2 2" xfId="10677" xr:uid="{00000000-0005-0000-0000-0000B5290000}"/>
    <cellStyle name="Input 62 2 3" xfId="10678" xr:uid="{00000000-0005-0000-0000-0000B6290000}"/>
    <cellStyle name="Input 62 3" xfId="10679" xr:uid="{00000000-0005-0000-0000-0000B7290000}"/>
    <cellStyle name="Input 62 3 2" xfId="10680" xr:uid="{00000000-0005-0000-0000-0000B8290000}"/>
    <cellStyle name="Input 62 3 2 2" xfId="10681" xr:uid="{00000000-0005-0000-0000-0000B9290000}"/>
    <cellStyle name="Input 62 3 2 2 2" xfId="10682" xr:uid="{00000000-0005-0000-0000-0000BA290000}"/>
    <cellStyle name="Input 62 3 2 3" xfId="10683" xr:uid="{00000000-0005-0000-0000-0000BB290000}"/>
    <cellStyle name="Input 62 3 3" xfId="10684" xr:uid="{00000000-0005-0000-0000-0000BC290000}"/>
    <cellStyle name="Input 62 3 3 2" xfId="10685" xr:uid="{00000000-0005-0000-0000-0000BD290000}"/>
    <cellStyle name="Input 62 3 4" xfId="10686" xr:uid="{00000000-0005-0000-0000-0000BE290000}"/>
    <cellStyle name="Input 62 4" xfId="10687" xr:uid="{00000000-0005-0000-0000-0000BF290000}"/>
    <cellStyle name="Input 62 4 2" xfId="10688" xr:uid="{00000000-0005-0000-0000-0000C0290000}"/>
    <cellStyle name="Input 62 5" xfId="10689" xr:uid="{00000000-0005-0000-0000-0000C1290000}"/>
    <cellStyle name="Input 63" xfId="10690" xr:uid="{00000000-0005-0000-0000-0000C2290000}"/>
    <cellStyle name="Input 63 2" xfId="10691" xr:uid="{00000000-0005-0000-0000-0000C3290000}"/>
    <cellStyle name="Input 63 2 2" xfId="10692" xr:uid="{00000000-0005-0000-0000-0000C4290000}"/>
    <cellStyle name="Input 63 2 2 2" xfId="10693" xr:uid="{00000000-0005-0000-0000-0000C5290000}"/>
    <cellStyle name="Input 63 2 3" xfId="10694" xr:uid="{00000000-0005-0000-0000-0000C6290000}"/>
    <cellStyle name="Input 63 3" xfId="10695" xr:uid="{00000000-0005-0000-0000-0000C7290000}"/>
    <cellStyle name="Input 63 3 2" xfId="10696" xr:uid="{00000000-0005-0000-0000-0000C8290000}"/>
    <cellStyle name="Input 63 3 2 2" xfId="10697" xr:uid="{00000000-0005-0000-0000-0000C9290000}"/>
    <cellStyle name="Input 63 3 2 2 2" xfId="10698" xr:uid="{00000000-0005-0000-0000-0000CA290000}"/>
    <cellStyle name="Input 63 3 2 3" xfId="10699" xr:uid="{00000000-0005-0000-0000-0000CB290000}"/>
    <cellStyle name="Input 63 3 3" xfId="10700" xr:uid="{00000000-0005-0000-0000-0000CC290000}"/>
    <cellStyle name="Input 63 3 3 2" xfId="10701" xr:uid="{00000000-0005-0000-0000-0000CD290000}"/>
    <cellStyle name="Input 63 3 4" xfId="10702" xr:uid="{00000000-0005-0000-0000-0000CE290000}"/>
    <cellStyle name="Input 63 4" xfId="10703" xr:uid="{00000000-0005-0000-0000-0000CF290000}"/>
    <cellStyle name="Input 63 4 2" xfId="10704" xr:uid="{00000000-0005-0000-0000-0000D0290000}"/>
    <cellStyle name="Input 63 5" xfId="10705" xr:uid="{00000000-0005-0000-0000-0000D1290000}"/>
    <cellStyle name="Input 64" xfId="10706" xr:uid="{00000000-0005-0000-0000-0000D2290000}"/>
    <cellStyle name="Input 64 2" xfId="10707" xr:uid="{00000000-0005-0000-0000-0000D3290000}"/>
    <cellStyle name="Input 64 2 2" xfId="10708" xr:uid="{00000000-0005-0000-0000-0000D4290000}"/>
    <cellStyle name="Input 64 2 2 2" xfId="10709" xr:uid="{00000000-0005-0000-0000-0000D5290000}"/>
    <cellStyle name="Input 64 2 3" xfId="10710" xr:uid="{00000000-0005-0000-0000-0000D6290000}"/>
    <cellStyle name="Input 64 3" xfId="10711" xr:uid="{00000000-0005-0000-0000-0000D7290000}"/>
    <cellStyle name="Input 64 3 2" xfId="10712" xr:uid="{00000000-0005-0000-0000-0000D8290000}"/>
    <cellStyle name="Input 64 3 2 2" xfId="10713" xr:uid="{00000000-0005-0000-0000-0000D9290000}"/>
    <cellStyle name="Input 64 3 2 2 2" xfId="10714" xr:uid="{00000000-0005-0000-0000-0000DA290000}"/>
    <cellStyle name="Input 64 3 2 3" xfId="10715" xr:uid="{00000000-0005-0000-0000-0000DB290000}"/>
    <cellStyle name="Input 64 3 3" xfId="10716" xr:uid="{00000000-0005-0000-0000-0000DC290000}"/>
    <cellStyle name="Input 64 3 3 2" xfId="10717" xr:uid="{00000000-0005-0000-0000-0000DD290000}"/>
    <cellStyle name="Input 64 3 4" xfId="10718" xr:uid="{00000000-0005-0000-0000-0000DE290000}"/>
    <cellStyle name="Input 64 4" xfId="10719" xr:uid="{00000000-0005-0000-0000-0000DF290000}"/>
    <cellStyle name="Input 64 4 2" xfId="10720" xr:uid="{00000000-0005-0000-0000-0000E0290000}"/>
    <cellStyle name="Input 64 5" xfId="10721" xr:uid="{00000000-0005-0000-0000-0000E1290000}"/>
    <cellStyle name="Input 65" xfId="10722" xr:uid="{00000000-0005-0000-0000-0000E2290000}"/>
    <cellStyle name="Input 65 2" xfId="10723" xr:uid="{00000000-0005-0000-0000-0000E3290000}"/>
    <cellStyle name="Input 65 2 2" xfId="10724" xr:uid="{00000000-0005-0000-0000-0000E4290000}"/>
    <cellStyle name="Input 65 2 2 2" xfId="10725" xr:uid="{00000000-0005-0000-0000-0000E5290000}"/>
    <cellStyle name="Input 65 2 3" xfId="10726" xr:uid="{00000000-0005-0000-0000-0000E6290000}"/>
    <cellStyle name="Input 65 3" xfId="10727" xr:uid="{00000000-0005-0000-0000-0000E7290000}"/>
    <cellStyle name="Input 65 3 2" xfId="10728" xr:uid="{00000000-0005-0000-0000-0000E8290000}"/>
    <cellStyle name="Input 65 3 2 2" xfId="10729" xr:uid="{00000000-0005-0000-0000-0000E9290000}"/>
    <cellStyle name="Input 65 3 2 2 2" xfId="10730" xr:uid="{00000000-0005-0000-0000-0000EA290000}"/>
    <cellStyle name="Input 65 3 2 3" xfId="10731" xr:uid="{00000000-0005-0000-0000-0000EB290000}"/>
    <cellStyle name="Input 65 3 3" xfId="10732" xr:uid="{00000000-0005-0000-0000-0000EC290000}"/>
    <cellStyle name="Input 65 3 3 2" xfId="10733" xr:uid="{00000000-0005-0000-0000-0000ED290000}"/>
    <cellStyle name="Input 65 3 4" xfId="10734" xr:uid="{00000000-0005-0000-0000-0000EE290000}"/>
    <cellStyle name="Input 65 4" xfId="10735" xr:uid="{00000000-0005-0000-0000-0000EF290000}"/>
    <cellStyle name="Input 65 4 2" xfId="10736" xr:uid="{00000000-0005-0000-0000-0000F0290000}"/>
    <cellStyle name="Input 65 5" xfId="10737" xr:uid="{00000000-0005-0000-0000-0000F1290000}"/>
    <cellStyle name="Input 66" xfId="10738" xr:uid="{00000000-0005-0000-0000-0000F2290000}"/>
    <cellStyle name="Input 66 2" xfId="10739" xr:uid="{00000000-0005-0000-0000-0000F3290000}"/>
    <cellStyle name="Input 66 2 2" xfId="10740" xr:uid="{00000000-0005-0000-0000-0000F4290000}"/>
    <cellStyle name="Input 66 2 2 2" xfId="10741" xr:uid="{00000000-0005-0000-0000-0000F5290000}"/>
    <cellStyle name="Input 66 2 3" xfId="10742" xr:uid="{00000000-0005-0000-0000-0000F6290000}"/>
    <cellStyle name="Input 66 3" xfId="10743" xr:uid="{00000000-0005-0000-0000-0000F7290000}"/>
    <cellStyle name="Input 66 3 2" xfId="10744" xr:uid="{00000000-0005-0000-0000-0000F8290000}"/>
    <cellStyle name="Input 66 3 2 2" xfId="10745" xr:uid="{00000000-0005-0000-0000-0000F9290000}"/>
    <cellStyle name="Input 66 3 2 2 2" xfId="10746" xr:uid="{00000000-0005-0000-0000-0000FA290000}"/>
    <cellStyle name="Input 66 3 2 3" xfId="10747" xr:uid="{00000000-0005-0000-0000-0000FB290000}"/>
    <cellStyle name="Input 66 3 3" xfId="10748" xr:uid="{00000000-0005-0000-0000-0000FC290000}"/>
    <cellStyle name="Input 66 3 3 2" xfId="10749" xr:uid="{00000000-0005-0000-0000-0000FD290000}"/>
    <cellStyle name="Input 66 3 4" xfId="10750" xr:uid="{00000000-0005-0000-0000-0000FE290000}"/>
    <cellStyle name="Input 66 4" xfId="10751" xr:uid="{00000000-0005-0000-0000-0000FF290000}"/>
    <cellStyle name="Input 66 4 2" xfId="10752" xr:uid="{00000000-0005-0000-0000-0000002A0000}"/>
    <cellStyle name="Input 66 5" xfId="10753" xr:uid="{00000000-0005-0000-0000-0000012A0000}"/>
    <cellStyle name="Input 67" xfId="10754" xr:uid="{00000000-0005-0000-0000-0000022A0000}"/>
    <cellStyle name="Input 67 2" xfId="10755" xr:uid="{00000000-0005-0000-0000-0000032A0000}"/>
    <cellStyle name="Input 67 2 2" xfId="10756" xr:uid="{00000000-0005-0000-0000-0000042A0000}"/>
    <cellStyle name="Input 67 2 2 2" xfId="10757" xr:uid="{00000000-0005-0000-0000-0000052A0000}"/>
    <cellStyle name="Input 67 2 3" xfId="10758" xr:uid="{00000000-0005-0000-0000-0000062A0000}"/>
    <cellStyle name="Input 67 3" xfId="10759" xr:uid="{00000000-0005-0000-0000-0000072A0000}"/>
    <cellStyle name="Input 67 3 2" xfId="10760" xr:uid="{00000000-0005-0000-0000-0000082A0000}"/>
    <cellStyle name="Input 67 3 2 2" xfId="10761" xr:uid="{00000000-0005-0000-0000-0000092A0000}"/>
    <cellStyle name="Input 67 3 2 2 2" xfId="10762" xr:uid="{00000000-0005-0000-0000-00000A2A0000}"/>
    <cellStyle name="Input 67 3 2 3" xfId="10763" xr:uid="{00000000-0005-0000-0000-00000B2A0000}"/>
    <cellStyle name="Input 67 3 3" xfId="10764" xr:uid="{00000000-0005-0000-0000-00000C2A0000}"/>
    <cellStyle name="Input 67 3 3 2" xfId="10765" xr:uid="{00000000-0005-0000-0000-00000D2A0000}"/>
    <cellStyle name="Input 67 3 4" xfId="10766" xr:uid="{00000000-0005-0000-0000-00000E2A0000}"/>
    <cellStyle name="Input 67 4" xfId="10767" xr:uid="{00000000-0005-0000-0000-00000F2A0000}"/>
    <cellStyle name="Input 67 4 2" xfId="10768" xr:uid="{00000000-0005-0000-0000-0000102A0000}"/>
    <cellStyle name="Input 67 5" xfId="10769" xr:uid="{00000000-0005-0000-0000-0000112A0000}"/>
    <cellStyle name="Input 68" xfId="10770" xr:uid="{00000000-0005-0000-0000-0000122A0000}"/>
    <cellStyle name="Input 68 2" xfId="10771" xr:uid="{00000000-0005-0000-0000-0000132A0000}"/>
    <cellStyle name="Input 68 2 2" xfId="10772" xr:uid="{00000000-0005-0000-0000-0000142A0000}"/>
    <cellStyle name="Input 68 2 2 2" xfId="10773" xr:uid="{00000000-0005-0000-0000-0000152A0000}"/>
    <cellStyle name="Input 68 2 3" xfId="10774" xr:uid="{00000000-0005-0000-0000-0000162A0000}"/>
    <cellStyle name="Input 68 3" xfId="10775" xr:uid="{00000000-0005-0000-0000-0000172A0000}"/>
    <cellStyle name="Input 68 3 2" xfId="10776" xr:uid="{00000000-0005-0000-0000-0000182A0000}"/>
    <cellStyle name="Input 68 3 2 2" xfId="10777" xr:uid="{00000000-0005-0000-0000-0000192A0000}"/>
    <cellStyle name="Input 68 3 2 2 2" xfId="10778" xr:uid="{00000000-0005-0000-0000-00001A2A0000}"/>
    <cellStyle name="Input 68 3 2 3" xfId="10779" xr:uid="{00000000-0005-0000-0000-00001B2A0000}"/>
    <cellStyle name="Input 68 3 3" xfId="10780" xr:uid="{00000000-0005-0000-0000-00001C2A0000}"/>
    <cellStyle name="Input 68 3 3 2" xfId="10781" xr:uid="{00000000-0005-0000-0000-00001D2A0000}"/>
    <cellStyle name="Input 68 3 4" xfId="10782" xr:uid="{00000000-0005-0000-0000-00001E2A0000}"/>
    <cellStyle name="Input 68 4" xfId="10783" xr:uid="{00000000-0005-0000-0000-00001F2A0000}"/>
    <cellStyle name="Input 68 4 2" xfId="10784" xr:uid="{00000000-0005-0000-0000-0000202A0000}"/>
    <cellStyle name="Input 68 5" xfId="10785" xr:uid="{00000000-0005-0000-0000-0000212A0000}"/>
    <cellStyle name="Input 69" xfId="10786" xr:uid="{00000000-0005-0000-0000-0000222A0000}"/>
    <cellStyle name="Input 69 2" xfId="10787" xr:uid="{00000000-0005-0000-0000-0000232A0000}"/>
    <cellStyle name="Input 69 2 2" xfId="10788" xr:uid="{00000000-0005-0000-0000-0000242A0000}"/>
    <cellStyle name="Input 69 2 2 2" xfId="10789" xr:uid="{00000000-0005-0000-0000-0000252A0000}"/>
    <cellStyle name="Input 69 2 3" xfId="10790" xr:uid="{00000000-0005-0000-0000-0000262A0000}"/>
    <cellStyle name="Input 69 3" xfId="10791" xr:uid="{00000000-0005-0000-0000-0000272A0000}"/>
    <cellStyle name="Input 69 3 2" xfId="10792" xr:uid="{00000000-0005-0000-0000-0000282A0000}"/>
    <cellStyle name="Input 69 3 2 2" xfId="10793" xr:uid="{00000000-0005-0000-0000-0000292A0000}"/>
    <cellStyle name="Input 69 3 2 2 2" xfId="10794" xr:uid="{00000000-0005-0000-0000-00002A2A0000}"/>
    <cellStyle name="Input 69 3 2 3" xfId="10795" xr:uid="{00000000-0005-0000-0000-00002B2A0000}"/>
    <cellStyle name="Input 69 3 3" xfId="10796" xr:uid="{00000000-0005-0000-0000-00002C2A0000}"/>
    <cellStyle name="Input 69 3 3 2" xfId="10797" xr:uid="{00000000-0005-0000-0000-00002D2A0000}"/>
    <cellStyle name="Input 69 3 4" xfId="10798" xr:uid="{00000000-0005-0000-0000-00002E2A0000}"/>
    <cellStyle name="Input 69 4" xfId="10799" xr:uid="{00000000-0005-0000-0000-00002F2A0000}"/>
    <cellStyle name="Input 69 4 2" xfId="10800" xr:uid="{00000000-0005-0000-0000-0000302A0000}"/>
    <cellStyle name="Input 69 5" xfId="10801" xr:uid="{00000000-0005-0000-0000-0000312A0000}"/>
    <cellStyle name="Input 7" xfId="10802" xr:uid="{00000000-0005-0000-0000-0000322A0000}"/>
    <cellStyle name="Input 7 2" xfId="10803" xr:uid="{00000000-0005-0000-0000-0000332A0000}"/>
    <cellStyle name="Input 7 2 2" xfId="10804" xr:uid="{00000000-0005-0000-0000-0000342A0000}"/>
    <cellStyle name="Input 7 2 2 2" xfId="10805" xr:uid="{00000000-0005-0000-0000-0000352A0000}"/>
    <cellStyle name="Input 7 2 2 2 2" xfId="10806" xr:uid="{00000000-0005-0000-0000-0000362A0000}"/>
    <cellStyle name="Input 7 2 2 3" xfId="10807" xr:uid="{00000000-0005-0000-0000-0000372A0000}"/>
    <cellStyle name="Input 7 2 3" xfId="10808" xr:uid="{00000000-0005-0000-0000-0000382A0000}"/>
    <cellStyle name="Input 7 2 3 2" xfId="10809" xr:uid="{00000000-0005-0000-0000-0000392A0000}"/>
    <cellStyle name="Input 7 2 3 2 2" xfId="10810" xr:uid="{00000000-0005-0000-0000-00003A2A0000}"/>
    <cellStyle name="Input 7 2 3 2 2 2" xfId="10811" xr:uid="{00000000-0005-0000-0000-00003B2A0000}"/>
    <cellStyle name="Input 7 2 3 2 3" xfId="10812" xr:uid="{00000000-0005-0000-0000-00003C2A0000}"/>
    <cellStyle name="Input 7 2 3 3" xfId="10813" xr:uid="{00000000-0005-0000-0000-00003D2A0000}"/>
    <cellStyle name="Input 7 2 3 3 2" xfId="10814" xr:uid="{00000000-0005-0000-0000-00003E2A0000}"/>
    <cellStyle name="Input 7 2 3 4" xfId="10815" xr:uid="{00000000-0005-0000-0000-00003F2A0000}"/>
    <cellStyle name="Input 7 2 4" xfId="10816" xr:uid="{00000000-0005-0000-0000-0000402A0000}"/>
    <cellStyle name="Input 7 2 4 2" xfId="10817" xr:uid="{00000000-0005-0000-0000-0000412A0000}"/>
    <cellStyle name="Input 7 2 5" xfId="10818" xr:uid="{00000000-0005-0000-0000-0000422A0000}"/>
    <cellStyle name="Input 7 3" xfId="10819" xr:uid="{00000000-0005-0000-0000-0000432A0000}"/>
    <cellStyle name="Input 7 3 2" xfId="10820" xr:uid="{00000000-0005-0000-0000-0000442A0000}"/>
    <cellStyle name="Input 7 3 2 2" xfId="10821" xr:uid="{00000000-0005-0000-0000-0000452A0000}"/>
    <cellStyle name="Input 7 3 3" xfId="10822" xr:uid="{00000000-0005-0000-0000-0000462A0000}"/>
    <cellStyle name="Input 7 4" xfId="10823" xr:uid="{00000000-0005-0000-0000-0000472A0000}"/>
    <cellStyle name="Input 7 4 2" xfId="10824" xr:uid="{00000000-0005-0000-0000-0000482A0000}"/>
    <cellStyle name="Input 7 4 2 2" xfId="10825" xr:uid="{00000000-0005-0000-0000-0000492A0000}"/>
    <cellStyle name="Input 7 4 2 2 2" xfId="10826" xr:uid="{00000000-0005-0000-0000-00004A2A0000}"/>
    <cellStyle name="Input 7 4 2 2 2 2" xfId="10827" xr:uid="{00000000-0005-0000-0000-00004B2A0000}"/>
    <cellStyle name="Input 7 4 2 2 2 2 2" xfId="10828" xr:uid="{00000000-0005-0000-0000-00004C2A0000}"/>
    <cellStyle name="Input 7 4 2 2 2 3" xfId="10829" xr:uid="{00000000-0005-0000-0000-00004D2A0000}"/>
    <cellStyle name="Input 7 4 2 2 3" xfId="10830" xr:uid="{00000000-0005-0000-0000-00004E2A0000}"/>
    <cellStyle name="Input 7 4 2 2 3 2" xfId="10831" xr:uid="{00000000-0005-0000-0000-00004F2A0000}"/>
    <cellStyle name="Input 7 4 2 2 4" xfId="10832" xr:uid="{00000000-0005-0000-0000-0000502A0000}"/>
    <cellStyle name="Input 7 4 2 3" xfId="10833" xr:uid="{00000000-0005-0000-0000-0000512A0000}"/>
    <cellStyle name="Input 7 4 2 3 2" xfId="10834" xr:uid="{00000000-0005-0000-0000-0000522A0000}"/>
    <cellStyle name="Input 7 4 2 3 2 2" xfId="10835" xr:uid="{00000000-0005-0000-0000-0000532A0000}"/>
    <cellStyle name="Input 7 4 2 3 3" xfId="10836" xr:uid="{00000000-0005-0000-0000-0000542A0000}"/>
    <cellStyle name="Input 7 4 2 4" xfId="10837" xr:uid="{00000000-0005-0000-0000-0000552A0000}"/>
    <cellStyle name="Input 7 4 2 4 2" xfId="10838" xr:uid="{00000000-0005-0000-0000-0000562A0000}"/>
    <cellStyle name="Input 7 4 2 5" xfId="10839" xr:uid="{00000000-0005-0000-0000-0000572A0000}"/>
    <cellStyle name="Input 7 4 3" xfId="10840" xr:uid="{00000000-0005-0000-0000-0000582A0000}"/>
    <cellStyle name="Input 7 4 3 2" xfId="10841" xr:uid="{00000000-0005-0000-0000-0000592A0000}"/>
    <cellStyle name="Input 7 4 3 2 2" xfId="10842" xr:uid="{00000000-0005-0000-0000-00005A2A0000}"/>
    <cellStyle name="Input 7 4 3 2 2 2" xfId="10843" xr:uid="{00000000-0005-0000-0000-00005B2A0000}"/>
    <cellStyle name="Input 7 4 3 2 3" xfId="10844" xr:uid="{00000000-0005-0000-0000-00005C2A0000}"/>
    <cellStyle name="Input 7 4 3 3" xfId="10845" xr:uid="{00000000-0005-0000-0000-00005D2A0000}"/>
    <cellStyle name="Input 7 4 3 3 2" xfId="10846" xr:uid="{00000000-0005-0000-0000-00005E2A0000}"/>
    <cellStyle name="Input 7 4 3 4" xfId="10847" xr:uid="{00000000-0005-0000-0000-00005F2A0000}"/>
    <cellStyle name="Input 7 4 4" xfId="10848" xr:uid="{00000000-0005-0000-0000-0000602A0000}"/>
    <cellStyle name="Input 7 4 4 2" xfId="10849" xr:uid="{00000000-0005-0000-0000-0000612A0000}"/>
    <cellStyle name="Input 7 4 4 2 2" xfId="10850" xr:uid="{00000000-0005-0000-0000-0000622A0000}"/>
    <cellStyle name="Input 7 4 4 3" xfId="10851" xr:uid="{00000000-0005-0000-0000-0000632A0000}"/>
    <cellStyle name="Input 7 4 5" xfId="10852" xr:uid="{00000000-0005-0000-0000-0000642A0000}"/>
    <cellStyle name="Input 7 4 5 2" xfId="10853" xr:uid="{00000000-0005-0000-0000-0000652A0000}"/>
    <cellStyle name="Input 7 4 6" xfId="10854" xr:uid="{00000000-0005-0000-0000-0000662A0000}"/>
    <cellStyle name="Input 7 5" xfId="10855" xr:uid="{00000000-0005-0000-0000-0000672A0000}"/>
    <cellStyle name="Input 7 5 2" xfId="10856" xr:uid="{00000000-0005-0000-0000-0000682A0000}"/>
    <cellStyle name="Input 7 6" xfId="10857" xr:uid="{00000000-0005-0000-0000-0000692A0000}"/>
    <cellStyle name="Input 70" xfId="10858" xr:uid="{00000000-0005-0000-0000-00006A2A0000}"/>
    <cellStyle name="Input 70 2" xfId="10859" xr:uid="{00000000-0005-0000-0000-00006B2A0000}"/>
    <cellStyle name="Input 70 2 2" xfId="10860" xr:uid="{00000000-0005-0000-0000-00006C2A0000}"/>
    <cellStyle name="Input 70 2 2 2" xfId="10861" xr:uid="{00000000-0005-0000-0000-00006D2A0000}"/>
    <cellStyle name="Input 70 2 3" xfId="10862" xr:uid="{00000000-0005-0000-0000-00006E2A0000}"/>
    <cellStyle name="Input 70 3" xfId="10863" xr:uid="{00000000-0005-0000-0000-00006F2A0000}"/>
    <cellStyle name="Input 70 3 2" xfId="10864" xr:uid="{00000000-0005-0000-0000-0000702A0000}"/>
    <cellStyle name="Input 70 3 2 2" xfId="10865" xr:uid="{00000000-0005-0000-0000-0000712A0000}"/>
    <cellStyle name="Input 70 3 2 2 2" xfId="10866" xr:uid="{00000000-0005-0000-0000-0000722A0000}"/>
    <cellStyle name="Input 70 3 2 3" xfId="10867" xr:uid="{00000000-0005-0000-0000-0000732A0000}"/>
    <cellStyle name="Input 70 3 3" xfId="10868" xr:uid="{00000000-0005-0000-0000-0000742A0000}"/>
    <cellStyle name="Input 70 3 3 2" xfId="10869" xr:uid="{00000000-0005-0000-0000-0000752A0000}"/>
    <cellStyle name="Input 70 3 4" xfId="10870" xr:uid="{00000000-0005-0000-0000-0000762A0000}"/>
    <cellStyle name="Input 70 4" xfId="10871" xr:uid="{00000000-0005-0000-0000-0000772A0000}"/>
    <cellStyle name="Input 70 4 2" xfId="10872" xr:uid="{00000000-0005-0000-0000-0000782A0000}"/>
    <cellStyle name="Input 70 5" xfId="10873" xr:uid="{00000000-0005-0000-0000-0000792A0000}"/>
    <cellStyle name="Input 71" xfId="10874" xr:uid="{00000000-0005-0000-0000-00007A2A0000}"/>
    <cellStyle name="Input 71 2" xfId="10875" xr:uid="{00000000-0005-0000-0000-00007B2A0000}"/>
    <cellStyle name="Input 71 2 2" xfId="10876" xr:uid="{00000000-0005-0000-0000-00007C2A0000}"/>
    <cellStyle name="Input 71 2 2 2" xfId="10877" xr:uid="{00000000-0005-0000-0000-00007D2A0000}"/>
    <cellStyle name="Input 71 2 3" xfId="10878" xr:uid="{00000000-0005-0000-0000-00007E2A0000}"/>
    <cellStyle name="Input 71 3" xfId="10879" xr:uid="{00000000-0005-0000-0000-00007F2A0000}"/>
    <cellStyle name="Input 71 3 2" xfId="10880" xr:uid="{00000000-0005-0000-0000-0000802A0000}"/>
    <cellStyle name="Input 71 3 2 2" xfId="10881" xr:uid="{00000000-0005-0000-0000-0000812A0000}"/>
    <cellStyle name="Input 71 3 2 2 2" xfId="10882" xr:uid="{00000000-0005-0000-0000-0000822A0000}"/>
    <cellStyle name="Input 71 3 2 3" xfId="10883" xr:uid="{00000000-0005-0000-0000-0000832A0000}"/>
    <cellStyle name="Input 71 3 3" xfId="10884" xr:uid="{00000000-0005-0000-0000-0000842A0000}"/>
    <cellStyle name="Input 71 3 3 2" xfId="10885" xr:uid="{00000000-0005-0000-0000-0000852A0000}"/>
    <cellStyle name="Input 71 3 4" xfId="10886" xr:uid="{00000000-0005-0000-0000-0000862A0000}"/>
    <cellStyle name="Input 71 4" xfId="10887" xr:uid="{00000000-0005-0000-0000-0000872A0000}"/>
    <cellStyle name="Input 71 4 2" xfId="10888" xr:uid="{00000000-0005-0000-0000-0000882A0000}"/>
    <cellStyle name="Input 71 5" xfId="10889" xr:uid="{00000000-0005-0000-0000-0000892A0000}"/>
    <cellStyle name="Input 72" xfId="10890" xr:uid="{00000000-0005-0000-0000-00008A2A0000}"/>
    <cellStyle name="Input 72 2" xfId="10891" xr:uid="{00000000-0005-0000-0000-00008B2A0000}"/>
    <cellStyle name="Input 72 2 2" xfId="10892" xr:uid="{00000000-0005-0000-0000-00008C2A0000}"/>
    <cellStyle name="Input 72 2 2 2" xfId="10893" xr:uid="{00000000-0005-0000-0000-00008D2A0000}"/>
    <cellStyle name="Input 72 2 3" xfId="10894" xr:uid="{00000000-0005-0000-0000-00008E2A0000}"/>
    <cellStyle name="Input 72 3" xfId="10895" xr:uid="{00000000-0005-0000-0000-00008F2A0000}"/>
    <cellStyle name="Input 72 3 2" xfId="10896" xr:uid="{00000000-0005-0000-0000-0000902A0000}"/>
    <cellStyle name="Input 72 3 2 2" xfId="10897" xr:uid="{00000000-0005-0000-0000-0000912A0000}"/>
    <cellStyle name="Input 72 3 2 2 2" xfId="10898" xr:uid="{00000000-0005-0000-0000-0000922A0000}"/>
    <cellStyle name="Input 72 3 2 3" xfId="10899" xr:uid="{00000000-0005-0000-0000-0000932A0000}"/>
    <cellStyle name="Input 72 3 3" xfId="10900" xr:uid="{00000000-0005-0000-0000-0000942A0000}"/>
    <cellStyle name="Input 72 3 3 2" xfId="10901" xr:uid="{00000000-0005-0000-0000-0000952A0000}"/>
    <cellStyle name="Input 72 3 4" xfId="10902" xr:uid="{00000000-0005-0000-0000-0000962A0000}"/>
    <cellStyle name="Input 72 4" xfId="10903" xr:uid="{00000000-0005-0000-0000-0000972A0000}"/>
    <cellStyle name="Input 72 4 2" xfId="10904" xr:uid="{00000000-0005-0000-0000-0000982A0000}"/>
    <cellStyle name="Input 72 5" xfId="10905" xr:uid="{00000000-0005-0000-0000-0000992A0000}"/>
    <cellStyle name="Input 73" xfId="10906" xr:uid="{00000000-0005-0000-0000-00009A2A0000}"/>
    <cellStyle name="Input 73 2" xfId="10907" xr:uid="{00000000-0005-0000-0000-00009B2A0000}"/>
    <cellStyle name="Input 73 2 2" xfId="10908" xr:uid="{00000000-0005-0000-0000-00009C2A0000}"/>
    <cellStyle name="Input 73 2 2 2" xfId="10909" xr:uid="{00000000-0005-0000-0000-00009D2A0000}"/>
    <cellStyle name="Input 73 2 3" xfId="10910" xr:uid="{00000000-0005-0000-0000-00009E2A0000}"/>
    <cellStyle name="Input 73 3" xfId="10911" xr:uid="{00000000-0005-0000-0000-00009F2A0000}"/>
    <cellStyle name="Input 73 3 2" xfId="10912" xr:uid="{00000000-0005-0000-0000-0000A02A0000}"/>
    <cellStyle name="Input 73 3 2 2" xfId="10913" xr:uid="{00000000-0005-0000-0000-0000A12A0000}"/>
    <cellStyle name="Input 73 3 2 2 2" xfId="10914" xr:uid="{00000000-0005-0000-0000-0000A22A0000}"/>
    <cellStyle name="Input 73 3 2 3" xfId="10915" xr:uid="{00000000-0005-0000-0000-0000A32A0000}"/>
    <cellStyle name="Input 73 3 3" xfId="10916" xr:uid="{00000000-0005-0000-0000-0000A42A0000}"/>
    <cellStyle name="Input 73 3 3 2" xfId="10917" xr:uid="{00000000-0005-0000-0000-0000A52A0000}"/>
    <cellStyle name="Input 73 3 4" xfId="10918" xr:uid="{00000000-0005-0000-0000-0000A62A0000}"/>
    <cellStyle name="Input 73 4" xfId="10919" xr:uid="{00000000-0005-0000-0000-0000A72A0000}"/>
    <cellStyle name="Input 73 4 2" xfId="10920" xr:uid="{00000000-0005-0000-0000-0000A82A0000}"/>
    <cellStyle name="Input 73 5" xfId="10921" xr:uid="{00000000-0005-0000-0000-0000A92A0000}"/>
    <cellStyle name="Input 74" xfId="10922" xr:uid="{00000000-0005-0000-0000-0000AA2A0000}"/>
    <cellStyle name="Input 74 2" xfId="10923" xr:uid="{00000000-0005-0000-0000-0000AB2A0000}"/>
    <cellStyle name="Input 74 2 2" xfId="10924" xr:uid="{00000000-0005-0000-0000-0000AC2A0000}"/>
    <cellStyle name="Input 74 2 2 2" xfId="10925" xr:uid="{00000000-0005-0000-0000-0000AD2A0000}"/>
    <cellStyle name="Input 74 2 3" xfId="10926" xr:uid="{00000000-0005-0000-0000-0000AE2A0000}"/>
    <cellStyle name="Input 74 3" xfId="10927" xr:uid="{00000000-0005-0000-0000-0000AF2A0000}"/>
    <cellStyle name="Input 74 3 2" xfId="10928" xr:uid="{00000000-0005-0000-0000-0000B02A0000}"/>
    <cellStyle name="Input 74 3 2 2" xfId="10929" xr:uid="{00000000-0005-0000-0000-0000B12A0000}"/>
    <cellStyle name="Input 74 3 2 2 2" xfId="10930" xr:uid="{00000000-0005-0000-0000-0000B22A0000}"/>
    <cellStyle name="Input 74 3 2 3" xfId="10931" xr:uid="{00000000-0005-0000-0000-0000B32A0000}"/>
    <cellStyle name="Input 74 3 3" xfId="10932" xr:uid="{00000000-0005-0000-0000-0000B42A0000}"/>
    <cellStyle name="Input 74 3 3 2" xfId="10933" xr:uid="{00000000-0005-0000-0000-0000B52A0000}"/>
    <cellStyle name="Input 74 3 4" xfId="10934" xr:uid="{00000000-0005-0000-0000-0000B62A0000}"/>
    <cellStyle name="Input 74 4" xfId="10935" xr:uid="{00000000-0005-0000-0000-0000B72A0000}"/>
    <cellStyle name="Input 74 4 2" xfId="10936" xr:uid="{00000000-0005-0000-0000-0000B82A0000}"/>
    <cellStyle name="Input 74 5" xfId="10937" xr:uid="{00000000-0005-0000-0000-0000B92A0000}"/>
    <cellStyle name="Input 75" xfId="10938" xr:uid="{00000000-0005-0000-0000-0000BA2A0000}"/>
    <cellStyle name="Input 75 2" xfId="10939" xr:uid="{00000000-0005-0000-0000-0000BB2A0000}"/>
    <cellStyle name="Input 75 2 2" xfId="10940" xr:uid="{00000000-0005-0000-0000-0000BC2A0000}"/>
    <cellStyle name="Input 75 2 2 2" xfId="10941" xr:uid="{00000000-0005-0000-0000-0000BD2A0000}"/>
    <cellStyle name="Input 75 2 3" xfId="10942" xr:uid="{00000000-0005-0000-0000-0000BE2A0000}"/>
    <cellStyle name="Input 75 3" xfId="10943" xr:uid="{00000000-0005-0000-0000-0000BF2A0000}"/>
    <cellStyle name="Input 75 3 2" xfId="10944" xr:uid="{00000000-0005-0000-0000-0000C02A0000}"/>
    <cellStyle name="Input 75 3 2 2" xfId="10945" xr:uid="{00000000-0005-0000-0000-0000C12A0000}"/>
    <cellStyle name="Input 75 3 2 2 2" xfId="10946" xr:uid="{00000000-0005-0000-0000-0000C22A0000}"/>
    <cellStyle name="Input 75 3 2 3" xfId="10947" xr:uid="{00000000-0005-0000-0000-0000C32A0000}"/>
    <cellStyle name="Input 75 3 3" xfId="10948" xr:uid="{00000000-0005-0000-0000-0000C42A0000}"/>
    <cellStyle name="Input 75 3 3 2" xfId="10949" xr:uid="{00000000-0005-0000-0000-0000C52A0000}"/>
    <cellStyle name="Input 75 3 4" xfId="10950" xr:uid="{00000000-0005-0000-0000-0000C62A0000}"/>
    <cellStyle name="Input 75 4" xfId="10951" xr:uid="{00000000-0005-0000-0000-0000C72A0000}"/>
    <cellStyle name="Input 75 4 2" xfId="10952" xr:uid="{00000000-0005-0000-0000-0000C82A0000}"/>
    <cellStyle name="Input 75 5" xfId="10953" xr:uid="{00000000-0005-0000-0000-0000C92A0000}"/>
    <cellStyle name="Input 76" xfId="10954" xr:uid="{00000000-0005-0000-0000-0000CA2A0000}"/>
    <cellStyle name="Input 76 2" xfId="10955" xr:uid="{00000000-0005-0000-0000-0000CB2A0000}"/>
    <cellStyle name="Input 76 2 2" xfId="10956" xr:uid="{00000000-0005-0000-0000-0000CC2A0000}"/>
    <cellStyle name="Input 76 2 2 2" xfId="10957" xr:uid="{00000000-0005-0000-0000-0000CD2A0000}"/>
    <cellStyle name="Input 76 2 3" xfId="10958" xr:uid="{00000000-0005-0000-0000-0000CE2A0000}"/>
    <cellStyle name="Input 76 3" xfId="10959" xr:uid="{00000000-0005-0000-0000-0000CF2A0000}"/>
    <cellStyle name="Input 76 3 2" xfId="10960" xr:uid="{00000000-0005-0000-0000-0000D02A0000}"/>
    <cellStyle name="Input 76 3 2 2" xfId="10961" xr:uid="{00000000-0005-0000-0000-0000D12A0000}"/>
    <cellStyle name="Input 76 3 2 2 2" xfId="10962" xr:uid="{00000000-0005-0000-0000-0000D22A0000}"/>
    <cellStyle name="Input 76 3 2 3" xfId="10963" xr:uid="{00000000-0005-0000-0000-0000D32A0000}"/>
    <cellStyle name="Input 76 3 3" xfId="10964" xr:uid="{00000000-0005-0000-0000-0000D42A0000}"/>
    <cellStyle name="Input 76 3 3 2" xfId="10965" xr:uid="{00000000-0005-0000-0000-0000D52A0000}"/>
    <cellStyle name="Input 76 3 4" xfId="10966" xr:uid="{00000000-0005-0000-0000-0000D62A0000}"/>
    <cellStyle name="Input 76 4" xfId="10967" xr:uid="{00000000-0005-0000-0000-0000D72A0000}"/>
    <cellStyle name="Input 76 4 2" xfId="10968" xr:uid="{00000000-0005-0000-0000-0000D82A0000}"/>
    <cellStyle name="Input 76 5" xfId="10969" xr:uid="{00000000-0005-0000-0000-0000D92A0000}"/>
    <cellStyle name="Input 77" xfId="10970" xr:uid="{00000000-0005-0000-0000-0000DA2A0000}"/>
    <cellStyle name="Input 77 2" xfId="10971" xr:uid="{00000000-0005-0000-0000-0000DB2A0000}"/>
    <cellStyle name="Input 77 2 2" xfId="10972" xr:uid="{00000000-0005-0000-0000-0000DC2A0000}"/>
    <cellStyle name="Input 77 2 2 2" xfId="10973" xr:uid="{00000000-0005-0000-0000-0000DD2A0000}"/>
    <cellStyle name="Input 77 2 3" xfId="10974" xr:uid="{00000000-0005-0000-0000-0000DE2A0000}"/>
    <cellStyle name="Input 77 3" xfId="10975" xr:uid="{00000000-0005-0000-0000-0000DF2A0000}"/>
    <cellStyle name="Input 77 3 2" xfId="10976" xr:uid="{00000000-0005-0000-0000-0000E02A0000}"/>
    <cellStyle name="Input 77 3 2 2" xfId="10977" xr:uid="{00000000-0005-0000-0000-0000E12A0000}"/>
    <cellStyle name="Input 77 3 2 2 2" xfId="10978" xr:uid="{00000000-0005-0000-0000-0000E22A0000}"/>
    <cellStyle name="Input 77 3 2 3" xfId="10979" xr:uid="{00000000-0005-0000-0000-0000E32A0000}"/>
    <cellStyle name="Input 77 3 3" xfId="10980" xr:uid="{00000000-0005-0000-0000-0000E42A0000}"/>
    <cellStyle name="Input 77 3 3 2" xfId="10981" xr:uid="{00000000-0005-0000-0000-0000E52A0000}"/>
    <cellStyle name="Input 77 3 4" xfId="10982" xr:uid="{00000000-0005-0000-0000-0000E62A0000}"/>
    <cellStyle name="Input 77 4" xfId="10983" xr:uid="{00000000-0005-0000-0000-0000E72A0000}"/>
    <cellStyle name="Input 77 4 2" xfId="10984" xr:uid="{00000000-0005-0000-0000-0000E82A0000}"/>
    <cellStyle name="Input 77 5" xfId="10985" xr:uid="{00000000-0005-0000-0000-0000E92A0000}"/>
    <cellStyle name="Input 78" xfId="10986" xr:uid="{00000000-0005-0000-0000-0000EA2A0000}"/>
    <cellStyle name="Input 78 2" xfId="10987" xr:uid="{00000000-0005-0000-0000-0000EB2A0000}"/>
    <cellStyle name="Input 78 2 2" xfId="10988" xr:uid="{00000000-0005-0000-0000-0000EC2A0000}"/>
    <cellStyle name="Input 78 2 2 2" xfId="10989" xr:uid="{00000000-0005-0000-0000-0000ED2A0000}"/>
    <cellStyle name="Input 78 2 3" xfId="10990" xr:uid="{00000000-0005-0000-0000-0000EE2A0000}"/>
    <cellStyle name="Input 78 3" xfId="10991" xr:uid="{00000000-0005-0000-0000-0000EF2A0000}"/>
    <cellStyle name="Input 78 3 2" xfId="10992" xr:uid="{00000000-0005-0000-0000-0000F02A0000}"/>
    <cellStyle name="Input 78 3 2 2" xfId="10993" xr:uid="{00000000-0005-0000-0000-0000F12A0000}"/>
    <cellStyle name="Input 78 3 2 2 2" xfId="10994" xr:uid="{00000000-0005-0000-0000-0000F22A0000}"/>
    <cellStyle name="Input 78 3 2 3" xfId="10995" xr:uid="{00000000-0005-0000-0000-0000F32A0000}"/>
    <cellStyle name="Input 78 3 3" xfId="10996" xr:uid="{00000000-0005-0000-0000-0000F42A0000}"/>
    <cellStyle name="Input 78 3 3 2" xfId="10997" xr:uid="{00000000-0005-0000-0000-0000F52A0000}"/>
    <cellStyle name="Input 78 3 4" xfId="10998" xr:uid="{00000000-0005-0000-0000-0000F62A0000}"/>
    <cellStyle name="Input 78 4" xfId="10999" xr:uid="{00000000-0005-0000-0000-0000F72A0000}"/>
    <cellStyle name="Input 78 4 2" xfId="11000" xr:uid="{00000000-0005-0000-0000-0000F82A0000}"/>
    <cellStyle name="Input 78 5" xfId="11001" xr:uid="{00000000-0005-0000-0000-0000F92A0000}"/>
    <cellStyle name="Input 79" xfId="11002" xr:uid="{00000000-0005-0000-0000-0000FA2A0000}"/>
    <cellStyle name="Input 79 2" xfId="11003" xr:uid="{00000000-0005-0000-0000-0000FB2A0000}"/>
    <cellStyle name="Input 79 2 2" xfId="11004" xr:uid="{00000000-0005-0000-0000-0000FC2A0000}"/>
    <cellStyle name="Input 79 2 2 2" xfId="11005" xr:uid="{00000000-0005-0000-0000-0000FD2A0000}"/>
    <cellStyle name="Input 79 2 3" xfId="11006" xr:uid="{00000000-0005-0000-0000-0000FE2A0000}"/>
    <cellStyle name="Input 79 3" xfId="11007" xr:uid="{00000000-0005-0000-0000-0000FF2A0000}"/>
    <cellStyle name="Input 79 3 2" xfId="11008" xr:uid="{00000000-0005-0000-0000-0000002B0000}"/>
    <cellStyle name="Input 79 3 2 2" xfId="11009" xr:uid="{00000000-0005-0000-0000-0000012B0000}"/>
    <cellStyle name="Input 79 3 2 2 2" xfId="11010" xr:uid="{00000000-0005-0000-0000-0000022B0000}"/>
    <cellStyle name="Input 79 3 2 3" xfId="11011" xr:uid="{00000000-0005-0000-0000-0000032B0000}"/>
    <cellStyle name="Input 79 3 3" xfId="11012" xr:uid="{00000000-0005-0000-0000-0000042B0000}"/>
    <cellStyle name="Input 79 3 3 2" xfId="11013" xr:uid="{00000000-0005-0000-0000-0000052B0000}"/>
    <cellStyle name="Input 79 3 4" xfId="11014" xr:uid="{00000000-0005-0000-0000-0000062B0000}"/>
    <cellStyle name="Input 79 4" xfId="11015" xr:uid="{00000000-0005-0000-0000-0000072B0000}"/>
    <cellStyle name="Input 79 4 2" xfId="11016" xr:uid="{00000000-0005-0000-0000-0000082B0000}"/>
    <cellStyle name="Input 79 5" xfId="11017" xr:uid="{00000000-0005-0000-0000-0000092B0000}"/>
    <cellStyle name="Input 8" xfId="11018" xr:uid="{00000000-0005-0000-0000-00000A2B0000}"/>
    <cellStyle name="Input 8 2" xfId="11019" xr:uid="{00000000-0005-0000-0000-00000B2B0000}"/>
    <cellStyle name="Input 8 2 2" xfId="11020" xr:uid="{00000000-0005-0000-0000-00000C2B0000}"/>
    <cellStyle name="Input 8 2 2 2" xfId="11021" xr:uid="{00000000-0005-0000-0000-00000D2B0000}"/>
    <cellStyle name="Input 8 2 3" xfId="11022" xr:uid="{00000000-0005-0000-0000-00000E2B0000}"/>
    <cellStyle name="Input 8 3" xfId="11023" xr:uid="{00000000-0005-0000-0000-00000F2B0000}"/>
    <cellStyle name="Input 8 3 2" xfId="11024" xr:uid="{00000000-0005-0000-0000-0000102B0000}"/>
    <cellStyle name="Input 8 4" xfId="11025" xr:uid="{00000000-0005-0000-0000-0000112B0000}"/>
    <cellStyle name="Input 80" xfId="11026" xr:uid="{00000000-0005-0000-0000-0000122B0000}"/>
    <cellStyle name="Input 80 2" xfId="11027" xr:uid="{00000000-0005-0000-0000-0000132B0000}"/>
    <cellStyle name="Input 80 2 2" xfId="11028" xr:uid="{00000000-0005-0000-0000-0000142B0000}"/>
    <cellStyle name="Input 80 2 2 2" xfId="11029" xr:uid="{00000000-0005-0000-0000-0000152B0000}"/>
    <cellStyle name="Input 80 2 3" xfId="11030" xr:uid="{00000000-0005-0000-0000-0000162B0000}"/>
    <cellStyle name="Input 80 3" xfId="11031" xr:uid="{00000000-0005-0000-0000-0000172B0000}"/>
    <cellStyle name="Input 80 3 2" xfId="11032" xr:uid="{00000000-0005-0000-0000-0000182B0000}"/>
    <cellStyle name="Input 80 3 2 2" xfId="11033" xr:uid="{00000000-0005-0000-0000-0000192B0000}"/>
    <cellStyle name="Input 80 3 2 2 2" xfId="11034" xr:uid="{00000000-0005-0000-0000-00001A2B0000}"/>
    <cellStyle name="Input 80 3 2 3" xfId="11035" xr:uid="{00000000-0005-0000-0000-00001B2B0000}"/>
    <cellStyle name="Input 80 3 3" xfId="11036" xr:uid="{00000000-0005-0000-0000-00001C2B0000}"/>
    <cellStyle name="Input 80 3 3 2" xfId="11037" xr:uid="{00000000-0005-0000-0000-00001D2B0000}"/>
    <cellStyle name="Input 80 3 4" xfId="11038" xr:uid="{00000000-0005-0000-0000-00001E2B0000}"/>
    <cellStyle name="Input 80 4" xfId="11039" xr:uid="{00000000-0005-0000-0000-00001F2B0000}"/>
    <cellStyle name="Input 80 4 2" xfId="11040" xr:uid="{00000000-0005-0000-0000-0000202B0000}"/>
    <cellStyle name="Input 80 5" xfId="11041" xr:uid="{00000000-0005-0000-0000-0000212B0000}"/>
    <cellStyle name="Input 81" xfId="11042" xr:uid="{00000000-0005-0000-0000-0000222B0000}"/>
    <cellStyle name="Input 81 2" xfId="11043" xr:uid="{00000000-0005-0000-0000-0000232B0000}"/>
    <cellStyle name="Input 81 2 2" xfId="11044" xr:uid="{00000000-0005-0000-0000-0000242B0000}"/>
    <cellStyle name="Input 81 2 2 2" xfId="11045" xr:uid="{00000000-0005-0000-0000-0000252B0000}"/>
    <cellStyle name="Input 81 2 3" xfId="11046" xr:uid="{00000000-0005-0000-0000-0000262B0000}"/>
    <cellStyle name="Input 81 3" xfId="11047" xr:uid="{00000000-0005-0000-0000-0000272B0000}"/>
    <cellStyle name="Input 81 3 2" xfId="11048" xr:uid="{00000000-0005-0000-0000-0000282B0000}"/>
    <cellStyle name="Input 81 3 2 2" xfId="11049" xr:uid="{00000000-0005-0000-0000-0000292B0000}"/>
    <cellStyle name="Input 81 3 2 2 2" xfId="11050" xr:uid="{00000000-0005-0000-0000-00002A2B0000}"/>
    <cellStyle name="Input 81 3 2 3" xfId="11051" xr:uid="{00000000-0005-0000-0000-00002B2B0000}"/>
    <cellStyle name="Input 81 3 3" xfId="11052" xr:uid="{00000000-0005-0000-0000-00002C2B0000}"/>
    <cellStyle name="Input 81 3 3 2" xfId="11053" xr:uid="{00000000-0005-0000-0000-00002D2B0000}"/>
    <cellStyle name="Input 81 3 4" xfId="11054" xr:uid="{00000000-0005-0000-0000-00002E2B0000}"/>
    <cellStyle name="Input 81 4" xfId="11055" xr:uid="{00000000-0005-0000-0000-00002F2B0000}"/>
    <cellStyle name="Input 81 4 2" xfId="11056" xr:uid="{00000000-0005-0000-0000-0000302B0000}"/>
    <cellStyle name="Input 81 5" xfId="11057" xr:uid="{00000000-0005-0000-0000-0000312B0000}"/>
    <cellStyle name="Input 82" xfId="11058" xr:uid="{00000000-0005-0000-0000-0000322B0000}"/>
    <cellStyle name="Input 82 2" xfId="11059" xr:uid="{00000000-0005-0000-0000-0000332B0000}"/>
    <cellStyle name="Input 82 2 2" xfId="11060" xr:uid="{00000000-0005-0000-0000-0000342B0000}"/>
    <cellStyle name="Input 82 2 2 2" xfId="11061" xr:uid="{00000000-0005-0000-0000-0000352B0000}"/>
    <cellStyle name="Input 82 2 3" xfId="11062" xr:uid="{00000000-0005-0000-0000-0000362B0000}"/>
    <cellStyle name="Input 82 3" xfId="11063" xr:uid="{00000000-0005-0000-0000-0000372B0000}"/>
    <cellStyle name="Input 82 3 2" xfId="11064" xr:uid="{00000000-0005-0000-0000-0000382B0000}"/>
    <cellStyle name="Input 82 3 2 2" xfId="11065" xr:uid="{00000000-0005-0000-0000-0000392B0000}"/>
    <cellStyle name="Input 82 3 2 2 2" xfId="11066" xr:uid="{00000000-0005-0000-0000-00003A2B0000}"/>
    <cellStyle name="Input 82 3 2 3" xfId="11067" xr:uid="{00000000-0005-0000-0000-00003B2B0000}"/>
    <cellStyle name="Input 82 3 3" xfId="11068" xr:uid="{00000000-0005-0000-0000-00003C2B0000}"/>
    <cellStyle name="Input 82 3 3 2" xfId="11069" xr:uid="{00000000-0005-0000-0000-00003D2B0000}"/>
    <cellStyle name="Input 82 3 4" xfId="11070" xr:uid="{00000000-0005-0000-0000-00003E2B0000}"/>
    <cellStyle name="Input 82 4" xfId="11071" xr:uid="{00000000-0005-0000-0000-00003F2B0000}"/>
    <cellStyle name="Input 82 4 2" xfId="11072" xr:uid="{00000000-0005-0000-0000-0000402B0000}"/>
    <cellStyle name="Input 82 5" xfId="11073" xr:uid="{00000000-0005-0000-0000-0000412B0000}"/>
    <cellStyle name="Input 83" xfId="11074" xr:uid="{00000000-0005-0000-0000-0000422B0000}"/>
    <cellStyle name="Input 83 2" xfId="11075" xr:uid="{00000000-0005-0000-0000-0000432B0000}"/>
    <cellStyle name="Input 83 2 2" xfId="11076" xr:uid="{00000000-0005-0000-0000-0000442B0000}"/>
    <cellStyle name="Input 83 2 2 2" xfId="11077" xr:uid="{00000000-0005-0000-0000-0000452B0000}"/>
    <cellStyle name="Input 83 2 3" xfId="11078" xr:uid="{00000000-0005-0000-0000-0000462B0000}"/>
    <cellStyle name="Input 83 3" xfId="11079" xr:uid="{00000000-0005-0000-0000-0000472B0000}"/>
    <cellStyle name="Input 83 3 2" xfId="11080" xr:uid="{00000000-0005-0000-0000-0000482B0000}"/>
    <cellStyle name="Input 83 3 2 2" xfId="11081" xr:uid="{00000000-0005-0000-0000-0000492B0000}"/>
    <cellStyle name="Input 83 3 2 2 2" xfId="11082" xr:uid="{00000000-0005-0000-0000-00004A2B0000}"/>
    <cellStyle name="Input 83 3 2 3" xfId="11083" xr:uid="{00000000-0005-0000-0000-00004B2B0000}"/>
    <cellStyle name="Input 83 3 3" xfId="11084" xr:uid="{00000000-0005-0000-0000-00004C2B0000}"/>
    <cellStyle name="Input 83 3 3 2" xfId="11085" xr:uid="{00000000-0005-0000-0000-00004D2B0000}"/>
    <cellStyle name="Input 83 3 4" xfId="11086" xr:uid="{00000000-0005-0000-0000-00004E2B0000}"/>
    <cellStyle name="Input 83 4" xfId="11087" xr:uid="{00000000-0005-0000-0000-00004F2B0000}"/>
    <cellStyle name="Input 83 4 2" xfId="11088" xr:uid="{00000000-0005-0000-0000-0000502B0000}"/>
    <cellStyle name="Input 83 5" xfId="11089" xr:uid="{00000000-0005-0000-0000-0000512B0000}"/>
    <cellStyle name="Input 84" xfId="11090" xr:uid="{00000000-0005-0000-0000-0000522B0000}"/>
    <cellStyle name="Input 84 2" xfId="11091" xr:uid="{00000000-0005-0000-0000-0000532B0000}"/>
    <cellStyle name="Input 84 2 2" xfId="11092" xr:uid="{00000000-0005-0000-0000-0000542B0000}"/>
    <cellStyle name="Input 84 2 2 2" xfId="11093" xr:uid="{00000000-0005-0000-0000-0000552B0000}"/>
    <cellStyle name="Input 84 2 3" xfId="11094" xr:uid="{00000000-0005-0000-0000-0000562B0000}"/>
    <cellStyle name="Input 84 3" xfId="11095" xr:uid="{00000000-0005-0000-0000-0000572B0000}"/>
    <cellStyle name="Input 84 3 2" xfId="11096" xr:uid="{00000000-0005-0000-0000-0000582B0000}"/>
    <cellStyle name="Input 84 4" xfId="11097" xr:uid="{00000000-0005-0000-0000-0000592B0000}"/>
    <cellStyle name="Input 85" xfId="11098" xr:uid="{00000000-0005-0000-0000-00005A2B0000}"/>
    <cellStyle name="Input 85 2" xfId="11099" xr:uid="{00000000-0005-0000-0000-00005B2B0000}"/>
    <cellStyle name="Input 85 2 2" xfId="11100" xr:uid="{00000000-0005-0000-0000-00005C2B0000}"/>
    <cellStyle name="Input 85 2 2 2" xfId="11101" xr:uid="{00000000-0005-0000-0000-00005D2B0000}"/>
    <cellStyle name="Input 85 2 3" xfId="11102" xr:uid="{00000000-0005-0000-0000-00005E2B0000}"/>
    <cellStyle name="Input 85 3" xfId="11103" xr:uid="{00000000-0005-0000-0000-00005F2B0000}"/>
    <cellStyle name="Input 85 3 2" xfId="11104" xr:uid="{00000000-0005-0000-0000-0000602B0000}"/>
    <cellStyle name="Input 85 4" xfId="11105" xr:uid="{00000000-0005-0000-0000-0000612B0000}"/>
    <cellStyle name="Input 86" xfId="11106" xr:uid="{00000000-0005-0000-0000-0000622B0000}"/>
    <cellStyle name="Input 86 2" xfId="11107" xr:uid="{00000000-0005-0000-0000-0000632B0000}"/>
    <cellStyle name="Input 86 2 2" xfId="11108" xr:uid="{00000000-0005-0000-0000-0000642B0000}"/>
    <cellStyle name="Input 86 2 2 2" xfId="11109" xr:uid="{00000000-0005-0000-0000-0000652B0000}"/>
    <cellStyle name="Input 86 2 3" xfId="11110" xr:uid="{00000000-0005-0000-0000-0000662B0000}"/>
    <cellStyle name="Input 86 3" xfId="11111" xr:uid="{00000000-0005-0000-0000-0000672B0000}"/>
    <cellStyle name="Input 86 3 2" xfId="11112" xr:uid="{00000000-0005-0000-0000-0000682B0000}"/>
    <cellStyle name="Input 86 4" xfId="11113" xr:uid="{00000000-0005-0000-0000-0000692B0000}"/>
    <cellStyle name="Input 87" xfId="11114" xr:uid="{00000000-0005-0000-0000-00006A2B0000}"/>
    <cellStyle name="Input 87 2" xfId="11115" xr:uid="{00000000-0005-0000-0000-00006B2B0000}"/>
    <cellStyle name="Input 87 2 2" xfId="11116" xr:uid="{00000000-0005-0000-0000-00006C2B0000}"/>
    <cellStyle name="Input 87 2 2 2" xfId="11117" xr:uid="{00000000-0005-0000-0000-00006D2B0000}"/>
    <cellStyle name="Input 87 2 3" xfId="11118" xr:uid="{00000000-0005-0000-0000-00006E2B0000}"/>
    <cellStyle name="Input 87 3" xfId="11119" xr:uid="{00000000-0005-0000-0000-00006F2B0000}"/>
    <cellStyle name="Input 87 3 2" xfId="11120" xr:uid="{00000000-0005-0000-0000-0000702B0000}"/>
    <cellStyle name="Input 87 4" xfId="11121" xr:uid="{00000000-0005-0000-0000-0000712B0000}"/>
    <cellStyle name="Input 88" xfId="11122" xr:uid="{00000000-0005-0000-0000-0000722B0000}"/>
    <cellStyle name="Input 88 2" xfId="11123" xr:uid="{00000000-0005-0000-0000-0000732B0000}"/>
    <cellStyle name="Input 88 2 2" xfId="11124" xr:uid="{00000000-0005-0000-0000-0000742B0000}"/>
    <cellStyle name="Input 88 2 2 2" xfId="11125" xr:uid="{00000000-0005-0000-0000-0000752B0000}"/>
    <cellStyle name="Input 88 2 3" xfId="11126" xr:uid="{00000000-0005-0000-0000-0000762B0000}"/>
    <cellStyle name="Input 88 3" xfId="11127" xr:uid="{00000000-0005-0000-0000-0000772B0000}"/>
    <cellStyle name="Input 88 3 2" xfId="11128" xr:uid="{00000000-0005-0000-0000-0000782B0000}"/>
    <cellStyle name="Input 88 4" xfId="11129" xr:uid="{00000000-0005-0000-0000-0000792B0000}"/>
    <cellStyle name="Input 89" xfId="11130" xr:uid="{00000000-0005-0000-0000-00007A2B0000}"/>
    <cellStyle name="Input 89 2" xfId="11131" xr:uid="{00000000-0005-0000-0000-00007B2B0000}"/>
    <cellStyle name="Input 89 2 2" xfId="11132" xr:uid="{00000000-0005-0000-0000-00007C2B0000}"/>
    <cellStyle name="Input 89 2 2 2" xfId="11133" xr:uid="{00000000-0005-0000-0000-00007D2B0000}"/>
    <cellStyle name="Input 89 2 3" xfId="11134" xr:uid="{00000000-0005-0000-0000-00007E2B0000}"/>
    <cellStyle name="Input 89 3" xfId="11135" xr:uid="{00000000-0005-0000-0000-00007F2B0000}"/>
    <cellStyle name="Input 89 3 2" xfId="11136" xr:uid="{00000000-0005-0000-0000-0000802B0000}"/>
    <cellStyle name="Input 89 4" xfId="11137" xr:uid="{00000000-0005-0000-0000-0000812B0000}"/>
    <cellStyle name="Input 9" xfId="11138" xr:uid="{00000000-0005-0000-0000-0000822B0000}"/>
    <cellStyle name="Input 9 2" xfId="11139" xr:uid="{00000000-0005-0000-0000-0000832B0000}"/>
    <cellStyle name="Input 9 2 2" xfId="11140" xr:uid="{00000000-0005-0000-0000-0000842B0000}"/>
    <cellStyle name="Input 9 2 2 2" xfId="11141" xr:uid="{00000000-0005-0000-0000-0000852B0000}"/>
    <cellStyle name="Input 9 2 3" xfId="11142" xr:uid="{00000000-0005-0000-0000-0000862B0000}"/>
    <cellStyle name="Input 9 3" xfId="11143" xr:uid="{00000000-0005-0000-0000-0000872B0000}"/>
    <cellStyle name="Input 9 3 2" xfId="11144" xr:uid="{00000000-0005-0000-0000-0000882B0000}"/>
    <cellStyle name="Input 9 4" xfId="11145" xr:uid="{00000000-0005-0000-0000-0000892B0000}"/>
    <cellStyle name="Input 90" xfId="11146" xr:uid="{00000000-0005-0000-0000-00008A2B0000}"/>
    <cellStyle name="Input 90 2" xfId="11147" xr:uid="{00000000-0005-0000-0000-00008B2B0000}"/>
    <cellStyle name="Input 90 2 2" xfId="11148" xr:uid="{00000000-0005-0000-0000-00008C2B0000}"/>
    <cellStyle name="Input 90 2 2 2" xfId="11149" xr:uid="{00000000-0005-0000-0000-00008D2B0000}"/>
    <cellStyle name="Input 90 2 3" xfId="11150" xr:uid="{00000000-0005-0000-0000-00008E2B0000}"/>
    <cellStyle name="Input 90 3" xfId="11151" xr:uid="{00000000-0005-0000-0000-00008F2B0000}"/>
    <cellStyle name="Input 90 3 2" xfId="11152" xr:uid="{00000000-0005-0000-0000-0000902B0000}"/>
    <cellStyle name="Input 90 4" xfId="11153" xr:uid="{00000000-0005-0000-0000-0000912B0000}"/>
    <cellStyle name="Input 91" xfId="11154" xr:uid="{00000000-0005-0000-0000-0000922B0000}"/>
    <cellStyle name="Input 91 2" xfId="11155" xr:uid="{00000000-0005-0000-0000-0000932B0000}"/>
    <cellStyle name="Input 91 2 2" xfId="11156" xr:uid="{00000000-0005-0000-0000-0000942B0000}"/>
    <cellStyle name="Input 91 2 2 2" xfId="11157" xr:uid="{00000000-0005-0000-0000-0000952B0000}"/>
    <cellStyle name="Input 91 2 3" xfId="11158" xr:uid="{00000000-0005-0000-0000-0000962B0000}"/>
    <cellStyle name="Input 91 3" xfId="11159" xr:uid="{00000000-0005-0000-0000-0000972B0000}"/>
    <cellStyle name="Input 91 3 2" xfId="11160" xr:uid="{00000000-0005-0000-0000-0000982B0000}"/>
    <cellStyle name="Input 91 4" xfId="11161" xr:uid="{00000000-0005-0000-0000-0000992B0000}"/>
    <cellStyle name="Input 92" xfId="11162" xr:uid="{00000000-0005-0000-0000-00009A2B0000}"/>
    <cellStyle name="Input 92 2" xfId="11163" xr:uid="{00000000-0005-0000-0000-00009B2B0000}"/>
    <cellStyle name="Input 92 2 2" xfId="11164" xr:uid="{00000000-0005-0000-0000-00009C2B0000}"/>
    <cellStyle name="Input 92 2 2 2" xfId="11165" xr:uid="{00000000-0005-0000-0000-00009D2B0000}"/>
    <cellStyle name="Input 92 2 3" xfId="11166" xr:uid="{00000000-0005-0000-0000-00009E2B0000}"/>
    <cellStyle name="Input 92 3" xfId="11167" xr:uid="{00000000-0005-0000-0000-00009F2B0000}"/>
    <cellStyle name="Input 92 3 2" xfId="11168" xr:uid="{00000000-0005-0000-0000-0000A02B0000}"/>
    <cellStyle name="Input 92 4" xfId="11169" xr:uid="{00000000-0005-0000-0000-0000A12B0000}"/>
    <cellStyle name="Input 93" xfId="11170" xr:uid="{00000000-0005-0000-0000-0000A22B0000}"/>
    <cellStyle name="Input 93 2" xfId="11171" xr:uid="{00000000-0005-0000-0000-0000A32B0000}"/>
    <cellStyle name="Input 93 2 2" xfId="11172" xr:uid="{00000000-0005-0000-0000-0000A42B0000}"/>
    <cellStyle name="Input 93 2 2 2" xfId="11173" xr:uid="{00000000-0005-0000-0000-0000A52B0000}"/>
    <cellStyle name="Input 93 2 3" xfId="11174" xr:uid="{00000000-0005-0000-0000-0000A62B0000}"/>
    <cellStyle name="Input 93 3" xfId="11175" xr:uid="{00000000-0005-0000-0000-0000A72B0000}"/>
    <cellStyle name="Input 93 3 2" xfId="11176" xr:uid="{00000000-0005-0000-0000-0000A82B0000}"/>
    <cellStyle name="Input 93 4" xfId="11177" xr:uid="{00000000-0005-0000-0000-0000A92B0000}"/>
    <cellStyle name="Input 94" xfId="11178" xr:uid="{00000000-0005-0000-0000-0000AA2B0000}"/>
    <cellStyle name="Input 94 2" xfId="11179" xr:uid="{00000000-0005-0000-0000-0000AB2B0000}"/>
    <cellStyle name="Input 94 2 2" xfId="11180" xr:uid="{00000000-0005-0000-0000-0000AC2B0000}"/>
    <cellStyle name="Input 94 2 2 2" xfId="11181" xr:uid="{00000000-0005-0000-0000-0000AD2B0000}"/>
    <cellStyle name="Input 94 2 3" xfId="11182" xr:uid="{00000000-0005-0000-0000-0000AE2B0000}"/>
    <cellStyle name="Input 94 3" xfId="11183" xr:uid="{00000000-0005-0000-0000-0000AF2B0000}"/>
    <cellStyle name="Input 94 3 2" xfId="11184" xr:uid="{00000000-0005-0000-0000-0000B02B0000}"/>
    <cellStyle name="Input 94 4" xfId="11185" xr:uid="{00000000-0005-0000-0000-0000B12B0000}"/>
    <cellStyle name="Input 95" xfId="11186" xr:uid="{00000000-0005-0000-0000-0000B22B0000}"/>
    <cellStyle name="Input 95 2" xfId="11187" xr:uid="{00000000-0005-0000-0000-0000B32B0000}"/>
    <cellStyle name="Input 95 2 2" xfId="11188" xr:uid="{00000000-0005-0000-0000-0000B42B0000}"/>
    <cellStyle name="Input 95 2 2 2" xfId="11189" xr:uid="{00000000-0005-0000-0000-0000B52B0000}"/>
    <cellStyle name="Input 95 2 3" xfId="11190" xr:uid="{00000000-0005-0000-0000-0000B62B0000}"/>
    <cellStyle name="Input 95 3" xfId="11191" xr:uid="{00000000-0005-0000-0000-0000B72B0000}"/>
    <cellStyle name="Input 95 3 2" xfId="11192" xr:uid="{00000000-0005-0000-0000-0000B82B0000}"/>
    <cellStyle name="Input 95 4" xfId="11193" xr:uid="{00000000-0005-0000-0000-0000B92B0000}"/>
    <cellStyle name="Input 96" xfId="11194" xr:uid="{00000000-0005-0000-0000-0000BA2B0000}"/>
    <cellStyle name="Input 96 2" xfId="11195" xr:uid="{00000000-0005-0000-0000-0000BB2B0000}"/>
    <cellStyle name="Input 96 2 2" xfId="11196" xr:uid="{00000000-0005-0000-0000-0000BC2B0000}"/>
    <cellStyle name="Input 96 2 2 2" xfId="11197" xr:uid="{00000000-0005-0000-0000-0000BD2B0000}"/>
    <cellStyle name="Input 96 2 3" xfId="11198" xr:uid="{00000000-0005-0000-0000-0000BE2B0000}"/>
    <cellStyle name="Input 96 3" xfId="11199" xr:uid="{00000000-0005-0000-0000-0000BF2B0000}"/>
    <cellStyle name="Input 96 3 2" xfId="11200" xr:uid="{00000000-0005-0000-0000-0000C02B0000}"/>
    <cellStyle name="Input 96 4" xfId="11201" xr:uid="{00000000-0005-0000-0000-0000C12B0000}"/>
    <cellStyle name="Input 97" xfId="11202" xr:uid="{00000000-0005-0000-0000-0000C22B0000}"/>
    <cellStyle name="Input 97 2" xfId="11203" xr:uid="{00000000-0005-0000-0000-0000C32B0000}"/>
    <cellStyle name="Input 97 2 2" xfId="11204" xr:uid="{00000000-0005-0000-0000-0000C42B0000}"/>
    <cellStyle name="Input 97 2 2 2" xfId="11205" xr:uid="{00000000-0005-0000-0000-0000C52B0000}"/>
    <cellStyle name="Input 97 2 3" xfId="11206" xr:uid="{00000000-0005-0000-0000-0000C62B0000}"/>
    <cellStyle name="Input 97 3" xfId="11207" xr:uid="{00000000-0005-0000-0000-0000C72B0000}"/>
    <cellStyle name="Input 97 3 2" xfId="11208" xr:uid="{00000000-0005-0000-0000-0000C82B0000}"/>
    <cellStyle name="Input 97 4" xfId="11209" xr:uid="{00000000-0005-0000-0000-0000C92B0000}"/>
    <cellStyle name="Input 98" xfId="11210" xr:uid="{00000000-0005-0000-0000-0000CA2B0000}"/>
    <cellStyle name="Input 98 2" xfId="11211" xr:uid="{00000000-0005-0000-0000-0000CB2B0000}"/>
    <cellStyle name="Input 98 2 2" xfId="11212" xr:uid="{00000000-0005-0000-0000-0000CC2B0000}"/>
    <cellStyle name="Input 98 2 2 2" xfId="11213" xr:uid="{00000000-0005-0000-0000-0000CD2B0000}"/>
    <cellStyle name="Input 98 2 3" xfId="11214" xr:uid="{00000000-0005-0000-0000-0000CE2B0000}"/>
    <cellStyle name="Input 98 3" xfId="11215" xr:uid="{00000000-0005-0000-0000-0000CF2B0000}"/>
    <cellStyle name="Input 98 3 2" xfId="11216" xr:uid="{00000000-0005-0000-0000-0000D02B0000}"/>
    <cellStyle name="Input 98 4" xfId="11217" xr:uid="{00000000-0005-0000-0000-0000D12B0000}"/>
    <cellStyle name="Input 99" xfId="11218" xr:uid="{00000000-0005-0000-0000-0000D22B0000}"/>
    <cellStyle name="Input 99 2" xfId="11219" xr:uid="{00000000-0005-0000-0000-0000D32B0000}"/>
    <cellStyle name="Input 99 2 2" xfId="11220" xr:uid="{00000000-0005-0000-0000-0000D42B0000}"/>
    <cellStyle name="Input 99 2 2 2" xfId="11221" xr:uid="{00000000-0005-0000-0000-0000D52B0000}"/>
    <cellStyle name="Input 99 2 3" xfId="11222" xr:uid="{00000000-0005-0000-0000-0000D62B0000}"/>
    <cellStyle name="Input 99 3" xfId="11223" xr:uid="{00000000-0005-0000-0000-0000D72B0000}"/>
    <cellStyle name="Input 99 3 2" xfId="11224" xr:uid="{00000000-0005-0000-0000-0000D82B0000}"/>
    <cellStyle name="Input 99 4" xfId="11225" xr:uid="{00000000-0005-0000-0000-0000D92B0000}"/>
    <cellStyle name="IntegerNoZero" xfId="11226" xr:uid="{00000000-0005-0000-0000-0000DA2B0000}"/>
    <cellStyle name="Linked" xfId="11227" xr:uid="{00000000-0005-0000-0000-0000DB2B0000}"/>
    <cellStyle name="Linked 2" xfId="11228" xr:uid="{00000000-0005-0000-0000-0000DC2B0000}"/>
    <cellStyle name="Linked Cell 2" xfId="11229" xr:uid="{00000000-0005-0000-0000-0000DD2B0000}"/>
    <cellStyle name="Linked Cell 2 10" xfId="11230" xr:uid="{00000000-0005-0000-0000-0000DE2B0000}"/>
    <cellStyle name="Linked Cell 2 10 2" xfId="11231" xr:uid="{00000000-0005-0000-0000-0000DF2B0000}"/>
    <cellStyle name="Linked Cell 2 11" xfId="11232" xr:uid="{00000000-0005-0000-0000-0000E02B0000}"/>
    <cellStyle name="Linked Cell 2 12" xfId="11233" xr:uid="{00000000-0005-0000-0000-0000E12B0000}"/>
    <cellStyle name="Linked Cell 2 2" xfId="11234" xr:uid="{00000000-0005-0000-0000-0000E22B0000}"/>
    <cellStyle name="Linked Cell 2 2 2" xfId="11235" xr:uid="{00000000-0005-0000-0000-0000E32B0000}"/>
    <cellStyle name="Linked Cell 2 2 2 2" xfId="11236" xr:uid="{00000000-0005-0000-0000-0000E42B0000}"/>
    <cellStyle name="Linked Cell 2 2 3" xfId="11237" xr:uid="{00000000-0005-0000-0000-0000E52B0000}"/>
    <cellStyle name="Linked Cell 2 2 3 2" xfId="11238" xr:uid="{00000000-0005-0000-0000-0000E62B0000}"/>
    <cellStyle name="Linked Cell 2 2 3 2 2" xfId="11239" xr:uid="{00000000-0005-0000-0000-0000E72B0000}"/>
    <cellStyle name="Linked Cell 2 2 3 3" xfId="11240" xr:uid="{00000000-0005-0000-0000-0000E82B0000}"/>
    <cellStyle name="Linked Cell 2 2 4" xfId="11241" xr:uid="{00000000-0005-0000-0000-0000E92B0000}"/>
    <cellStyle name="Linked Cell 2 3" xfId="11242" xr:uid="{00000000-0005-0000-0000-0000EA2B0000}"/>
    <cellStyle name="Linked Cell 2 3 2" xfId="11243" xr:uid="{00000000-0005-0000-0000-0000EB2B0000}"/>
    <cellStyle name="Linked Cell 2 3 2 2" xfId="11244" xr:uid="{00000000-0005-0000-0000-0000EC2B0000}"/>
    <cellStyle name="Linked Cell 2 3 3" xfId="11245" xr:uid="{00000000-0005-0000-0000-0000ED2B0000}"/>
    <cellStyle name="Linked Cell 2 3 3 2" xfId="11246" xr:uid="{00000000-0005-0000-0000-0000EE2B0000}"/>
    <cellStyle name="Linked Cell 2 3 3 2 2" xfId="11247" xr:uid="{00000000-0005-0000-0000-0000EF2B0000}"/>
    <cellStyle name="Linked Cell 2 3 3 3" xfId="11248" xr:uid="{00000000-0005-0000-0000-0000F02B0000}"/>
    <cellStyle name="Linked Cell 2 3 4" xfId="11249" xr:uid="{00000000-0005-0000-0000-0000F12B0000}"/>
    <cellStyle name="Linked Cell 2 4" xfId="11250" xr:uid="{00000000-0005-0000-0000-0000F22B0000}"/>
    <cellStyle name="Linked Cell 2 4 2" xfId="11251" xr:uid="{00000000-0005-0000-0000-0000F32B0000}"/>
    <cellStyle name="Linked Cell 2 4 2 2" xfId="11252" xr:uid="{00000000-0005-0000-0000-0000F42B0000}"/>
    <cellStyle name="Linked Cell 2 4 3" xfId="11253" xr:uid="{00000000-0005-0000-0000-0000F52B0000}"/>
    <cellStyle name="Linked Cell 2 5" xfId="11254" xr:uid="{00000000-0005-0000-0000-0000F62B0000}"/>
    <cellStyle name="Linked Cell 2 5 2" xfId="11255" xr:uid="{00000000-0005-0000-0000-0000F72B0000}"/>
    <cellStyle name="Linked Cell 2 5 2 2" xfId="11256" xr:uid="{00000000-0005-0000-0000-0000F82B0000}"/>
    <cellStyle name="Linked Cell 2 5 3" xfId="11257" xr:uid="{00000000-0005-0000-0000-0000F92B0000}"/>
    <cellStyle name="Linked Cell 2 5 3 2" xfId="11258" xr:uid="{00000000-0005-0000-0000-0000FA2B0000}"/>
    <cellStyle name="Linked Cell 2 5 3 2 2" xfId="11259" xr:uid="{00000000-0005-0000-0000-0000FB2B0000}"/>
    <cellStyle name="Linked Cell 2 5 3 3" xfId="11260" xr:uid="{00000000-0005-0000-0000-0000FC2B0000}"/>
    <cellStyle name="Linked Cell 2 5 4" xfId="11261" xr:uid="{00000000-0005-0000-0000-0000FD2B0000}"/>
    <cellStyle name="Linked Cell 2 6" xfId="11262" xr:uid="{00000000-0005-0000-0000-0000FE2B0000}"/>
    <cellStyle name="Linked Cell 2 6 2" xfId="11263" xr:uid="{00000000-0005-0000-0000-0000FF2B0000}"/>
    <cellStyle name="Linked Cell 2 6 2 2" xfId="11264" xr:uid="{00000000-0005-0000-0000-0000002C0000}"/>
    <cellStyle name="Linked Cell 2 6 3" xfId="11265" xr:uid="{00000000-0005-0000-0000-0000012C0000}"/>
    <cellStyle name="Linked Cell 2 6 3 2" xfId="11266" xr:uid="{00000000-0005-0000-0000-0000022C0000}"/>
    <cellStyle name="Linked Cell 2 6 4" xfId="11267" xr:uid="{00000000-0005-0000-0000-0000032C0000}"/>
    <cellStyle name="Linked Cell 2 7" xfId="11268" xr:uid="{00000000-0005-0000-0000-0000042C0000}"/>
    <cellStyle name="Linked Cell 2 7 2" xfId="11269" xr:uid="{00000000-0005-0000-0000-0000052C0000}"/>
    <cellStyle name="Linked Cell 2 8" xfId="11270" xr:uid="{00000000-0005-0000-0000-0000062C0000}"/>
    <cellStyle name="Linked Cell 2 8 2" xfId="11271" xr:uid="{00000000-0005-0000-0000-0000072C0000}"/>
    <cellStyle name="Linked Cell 2 8 2 2" xfId="11272" xr:uid="{00000000-0005-0000-0000-0000082C0000}"/>
    <cellStyle name="Linked Cell 2 8 3" xfId="11273" xr:uid="{00000000-0005-0000-0000-0000092C0000}"/>
    <cellStyle name="Linked Cell 2 9" xfId="11274" xr:uid="{00000000-0005-0000-0000-00000A2C0000}"/>
    <cellStyle name="Linked Cell 2 9 2" xfId="11275" xr:uid="{00000000-0005-0000-0000-00000B2C0000}"/>
    <cellStyle name="Linked Cell 2 9 2 2" xfId="11276" xr:uid="{00000000-0005-0000-0000-00000C2C0000}"/>
    <cellStyle name="Linked Cell 2 9 3" xfId="11277" xr:uid="{00000000-0005-0000-0000-00000D2C0000}"/>
    <cellStyle name="Linked Cell 3" xfId="11278" xr:uid="{00000000-0005-0000-0000-00000E2C0000}"/>
    <cellStyle name="Linked Cell 3 2" xfId="11279" xr:uid="{00000000-0005-0000-0000-00000F2C0000}"/>
    <cellStyle name="Linked Cell 3 2 2" xfId="11280" xr:uid="{00000000-0005-0000-0000-0000102C0000}"/>
    <cellStyle name="Linked Cell 3 3" xfId="11281" xr:uid="{00000000-0005-0000-0000-0000112C0000}"/>
    <cellStyle name="Linked Cell 3 3 2" xfId="11282" xr:uid="{00000000-0005-0000-0000-0000122C0000}"/>
    <cellStyle name="Linked Cell 3 4" xfId="11283" xr:uid="{00000000-0005-0000-0000-0000132C0000}"/>
    <cellStyle name="Linked Cell 3 4 2" xfId="11284" xr:uid="{00000000-0005-0000-0000-0000142C0000}"/>
    <cellStyle name="Linked Cell 3 4 2 2" xfId="11285" xr:uid="{00000000-0005-0000-0000-0000152C0000}"/>
    <cellStyle name="Linked Cell 3 4 3" xfId="11286" xr:uid="{00000000-0005-0000-0000-0000162C0000}"/>
    <cellStyle name="Linked Cell 3 5" xfId="11287" xr:uid="{00000000-0005-0000-0000-0000172C0000}"/>
    <cellStyle name="Linked Cell 4" xfId="11288" xr:uid="{00000000-0005-0000-0000-0000182C0000}"/>
    <cellStyle name="Linked Cell 4 2" xfId="11289" xr:uid="{00000000-0005-0000-0000-0000192C0000}"/>
    <cellStyle name="Linked Cell 4 2 2" xfId="11290" xr:uid="{00000000-0005-0000-0000-00001A2C0000}"/>
    <cellStyle name="Linked Cell 4 3" xfId="11291" xr:uid="{00000000-0005-0000-0000-00001B2C0000}"/>
    <cellStyle name="Linked Cell 4 3 2" xfId="11292" xr:uid="{00000000-0005-0000-0000-00001C2C0000}"/>
    <cellStyle name="Linked Cell 4 3 2 2" xfId="11293" xr:uid="{00000000-0005-0000-0000-00001D2C0000}"/>
    <cellStyle name="Linked Cell 4 3 3" xfId="11294" xr:uid="{00000000-0005-0000-0000-00001E2C0000}"/>
    <cellStyle name="Linked Cell 4 4" xfId="11295" xr:uid="{00000000-0005-0000-0000-00001F2C0000}"/>
    <cellStyle name="Linked Cell 5" xfId="11296" xr:uid="{00000000-0005-0000-0000-0000202C0000}"/>
    <cellStyle name="Linked Cell 5 2" xfId="11297" xr:uid="{00000000-0005-0000-0000-0000212C0000}"/>
    <cellStyle name="Linked Cell 5 2 2" xfId="11298" xr:uid="{00000000-0005-0000-0000-0000222C0000}"/>
    <cellStyle name="Linked Cell 5 3" xfId="11299" xr:uid="{00000000-0005-0000-0000-0000232C0000}"/>
    <cellStyle name="Linked Cell 5 3 2" xfId="11300" xr:uid="{00000000-0005-0000-0000-0000242C0000}"/>
    <cellStyle name="Linked Cell 5 3 2 2" xfId="11301" xr:uid="{00000000-0005-0000-0000-0000252C0000}"/>
    <cellStyle name="Linked Cell 5 3 3" xfId="11302" xr:uid="{00000000-0005-0000-0000-0000262C0000}"/>
    <cellStyle name="Linked Cell 5 4" xfId="11303" xr:uid="{00000000-0005-0000-0000-0000272C0000}"/>
    <cellStyle name="Linked Cell 6" xfId="11304" xr:uid="{00000000-0005-0000-0000-0000282C0000}"/>
    <cellStyle name="Linked Cell 6 2" xfId="11305" xr:uid="{00000000-0005-0000-0000-0000292C0000}"/>
    <cellStyle name="Linked Cell 6 2 2" xfId="11306" xr:uid="{00000000-0005-0000-0000-00002A2C0000}"/>
    <cellStyle name="Linked Cell 6 3" xfId="11307" xr:uid="{00000000-0005-0000-0000-00002B2C0000}"/>
    <cellStyle name="Linked Cell 7" xfId="11308" xr:uid="{00000000-0005-0000-0000-00002C2C0000}"/>
    <cellStyle name="Linked Cell 7 2" xfId="11309" xr:uid="{00000000-0005-0000-0000-00002D2C0000}"/>
    <cellStyle name="Linked Cell 8" xfId="11310" xr:uid="{00000000-0005-0000-0000-00002E2C0000}"/>
    <cellStyle name="Linked Cell 9" xfId="11311" xr:uid="{00000000-0005-0000-0000-00002F2C0000}"/>
    <cellStyle name="Missing" xfId="11312" xr:uid="{00000000-0005-0000-0000-0000302C0000}"/>
    <cellStyle name="Missing 2" xfId="11313" xr:uid="{00000000-0005-0000-0000-0000312C0000}"/>
    <cellStyle name="mmmyy" xfId="11314" xr:uid="{00000000-0005-0000-0000-0000322C0000}"/>
    <cellStyle name="Neutral 2" xfId="11315" xr:uid="{00000000-0005-0000-0000-0000332C0000}"/>
    <cellStyle name="Neutral 2 10" xfId="11316" xr:uid="{00000000-0005-0000-0000-0000342C0000}"/>
    <cellStyle name="Neutral 2 10 2" xfId="11317" xr:uid="{00000000-0005-0000-0000-0000352C0000}"/>
    <cellStyle name="Neutral 2 11" xfId="11318" xr:uid="{00000000-0005-0000-0000-0000362C0000}"/>
    <cellStyle name="Neutral 2 12" xfId="11319" xr:uid="{00000000-0005-0000-0000-0000372C0000}"/>
    <cellStyle name="Neutral 2 2" xfId="11320" xr:uid="{00000000-0005-0000-0000-0000382C0000}"/>
    <cellStyle name="Neutral 2 2 2" xfId="11321" xr:uid="{00000000-0005-0000-0000-0000392C0000}"/>
    <cellStyle name="Neutral 2 2 2 2" xfId="11322" xr:uid="{00000000-0005-0000-0000-00003A2C0000}"/>
    <cellStyle name="Neutral 2 2 3" xfId="11323" xr:uid="{00000000-0005-0000-0000-00003B2C0000}"/>
    <cellStyle name="Neutral 2 2 3 2" xfId="11324" xr:uid="{00000000-0005-0000-0000-00003C2C0000}"/>
    <cellStyle name="Neutral 2 2 3 2 2" xfId="11325" xr:uid="{00000000-0005-0000-0000-00003D2C0000}"/>
    <cellStyle name="Neutral 2 2 3 3" xfId="11326" xr:uid="{00000000-0005-0000-0000-00003E2C0000}"/>
    <cellStyle name="Neutral 2 2 4" xfId="11327" xr:uid="{00000000-0005-0000-0000-00003F2C0000}"/>
    <cellStyle name="Neutral 2 2 4 2" xfId="11328" xr:uid="{00000000-0005-0000-0000-0000402C0000}"/>
    <cellStyle name="Neutral 2 2 5" xfId="11329" xr:uid="{00000000-0005-0000-0000-0000412C0000}"/>
    <cellStyle name="Neutral 2 3" xfId="11330" xr:uid="{00000000-0005-0000-0000-0000422C0000}"/>
    <cellStyle name="Neutral 2 3 2" xfId="11331" xr:uid="{00000000-0005-0000-0000-0000432C0000}"/>
    <cellStyle name="Neutral 2 3 2 2" xfId="11332" xr:uid="{00000000-0005-0000-0000-0000442C0000}"/>
    <cellStyle name="Neutral 2 3 3" xfId="11333" xr:uid="{00000000-0005-0000-0000-0000452C0000}"/>
    <cellStyle name="Neutral 2 3 3 2" xfId="11334" xr:uid="{00000000-0005-0000-0000-0000462C0000}"/>
    <cellStyle name="Neutral 2 3 3 2 2" xfId="11335" xr:uid="{00000000-0005-0000-0000-0000472C0000}"/>
    <cellStyle name="Neutral 2 3 3 3" xfId="11336" xr:uid="{00000000-0005-0000-0000-0000482C0000}"/>
    <cellStyle name="Neutral 2 3 4" xfId="11337" xr:uid="{00000000-0005-0000-0000-0000492C0000}"/>
    <cellStyle name="Neutral 2 4" xfId="11338" xr:uid="{00000000-0005-0000-0000-00004A2C0000}"/>
    <cellStyle name="Neutral 2 4 2" xfId="11339" xr:uid="{00000000-0005-0000-0000-00004B2C0000}"/>
    <cellStyle name="Neutral 2 4 2 2" xfId="11340" xr:uid="{00000000-0005-0000-0000-00004C2C0000}"/>
    <cellStyle name="Neutral 2 4 3" xfId="11341" xr:uid="{00000000-0005-0000-0000-00004D2C0000}"/>
    <cellStyle name="Neutral 2 5" xfId="11342" xr:uid="{00000000-0005-0000-0000-00004E2C0000}"/>
    <cellStyle name="Neutral 2 5 2" xfId="11343" xr:uid="{00000000-0005-0000-0000-00004F2C0000}"/>
    <cellStyle name="Neutral 2 5 2 2" xfId="11344" xr:uid="{00000000-0005-0000-0000-0000502C0000}"/>
    <cellStyle name="Neutral 2 5 3" xfId="11345" xr:uid="{00000000-0005-0000-0000-0000512C0000}"/>
    <cellStyle name="Neutral 2 5 3 2" xfId="11346" xr:uid="{00000000-0005-0000-0000-0000522C0000}"/>
    <cellStyle name="Neutral 2 5 3 2 2" xfId="11347" xr:uid="{00000000-0005-0000-0000-0000532C0000}"/>
    <cellStyle name="Neutral 2 5 3 3" xfId="11348" xr:uid="{00000000-0005-0000-0000-0000542C0000}"/>
    <cellStyle name="Neutral 2 5 4" xfId="11349" xr:uid="{00000000-0005-0000-0000-0000552C0000}"/>
    <cellStyle name="Neutral 2 6" xfId="11350" xr:uid="{00000000-0005-0000-0000-0000562C0000}"/>
    <cellStyle name="Neutral 2 6 2" xfId="11351" xr:uid="{00000000-0005-0000-0000-0000572C0000}"/>
    <cellStyle name="Neutral 2 6 2 2" xfId="11352" xr:uid="{00000000-0005-0000-0000-0000582C0000}"/>
    <cellStyle name="Neutral 2 6 3" xfId="11353" xr:uid="{00000000-0005-0000-0000-0000592C0000}"/>
    <cellStyle name="Neutral 2 6 3 2" xfId="11354" xr:uid="{00000000-0005-0000-0000-00005A2C0000}"/>
    <cellStyle name="Neutral 2 6 4" xfId="11355" xr:uid="{00000000-0005-0000-0000-00005B2C0000}"/>
    <cellStyle name="Neutral 2 7" xfId="11356" xr:uid="{00000000-0005-0000-0000-00005C2C0000}"/>
    <cellStyle name="Neutral 2 7 2" xfId="11357" xr:uid="{00000000-0005-0000-0000-00005D2C0000}"/>
    <cellStyle name="Neutral 2 8" xfId="11358" xr:uid="{00000000-0005-0000-0000-00005E2C0000}"/>
    <cellStyle name="Neutral 2 8 2" xfId="11359" xr:uid="{00000000-0005-0000-0000-00005F2C0000}"/>
    <cellStyle name="Neutral 2 8 2 2" xfId="11360" xr:uid="{00000000-0005-0000-0000-0000602C0000}"/>
    <cellStyle name="Neutral 2 8 3" xfId="11361" xr:uid="{00000000-0005-0000-0000-0000612C0000}"/>
    <cellStyle name="Neutral 2 9" xfId="11362" xr:uid="{00000000-0005-0000-0000-0000622C0000}"/>
    <cellStyle name="Neutral 2 9 2" xfId="11363" xr:uid="{00000000-0005-0000-0000-0000632C0000}"/>
    <cellStyle name="Neutral 2 9 2 2" xfId="11364" xr:uid="{00000000-0005-0000-0000-0000642C0000}"/>
    <cellStyle name="Neutral 2 9 3" xfId="11365" xr:uid="{00000000-0005-0000-0000-0000652C0000}"/>
    <cellStyle name="Neutral 3" xfId="11366" xr:uid="{00000000-0005-0000-0000-0000662C0000}"/>
    <cellStyle name="Neutral 3 2" xfId="11367" xr:uid="{00000000-0005-0000-0000-0000672C0000}"/>
    <cellStyle name="Neutral 3 2 2" xfId="11368" xr:uid="{00000000-0005-0000-0000-0000682C0000}"/>
    <cellStyle name="Neutral 3 3" xfId="11369" xr:uid="{00000000-0005-0000-0000-0000692C0000}"/>
    <cellStyle name="Neutral 3 3 2" xfId="11370" xr:uid="{00000000-0005-0000-0000-00006A2C0000}"/>
    <cellStyle name="Neutral 3 4" xfId="11371" xr:uid="{00000000-0005-0000-0000-00006B2C0000}"/>
    <cellStyle name="Neutral 3 4 2" xfId="11372" xr:uid="{00000000-0005-0000-0000-00006C2C0000}"/>
    <cellStyle name="Neutral 3 4 2 2" xfId="11373" xr:uid="{00000000-0005-0000-0000-00006D2C0000}"/>
    <cellStyle name="Neutral 3 4 3" xfId="11374" xr:uid="{00000000-0005-0000-0000-00006E2C0000}"/>
    <cellStyle name="Neutral 3 5" xfId="11375" xr:uid="{00000000-0005-0000-0000-00006F2C0000}"/>
    <cellStyle name="Neutral 4" xfId="11376" xr:uid="{00000000-0005-0000-0000-0000702C0000}"/>
    <cellStyle name="Neutral 4 2" xfId="11377" xr:uid="{00000000-0005-0000-0000-0000712C0000}"/>
    <cellStyle name="Neutral 4 2 2" xfId="11378" xr:uid="{00000000-0005-0000-0000-0000722C0000}"/>
    <cellStyle name="Neutral 4 3" xfId="11379" xr:uid="{00000000-0005-0000-0000-0000732C0000}"/>
    <cellStyle name="Neutral 4 3 2" xfId="11380" xr:uid="{00000000-0005-0000-0000-0000742C0000}"/>
    <cellStyle name="Neutral 4 3 2 2" xfId="11381" xr:uid="{00000000-0005-0000-0000-0000752C0000}"/>
    <cellStyle name="Neutral 4 3 3" xfId="11382" xr:uid="{00000000-0005-0000-0000-0000762C0000}"/>
    <cellStyle name="Neutral 4 4" xfId="11383" xr:uid="{00000000-0005-0000-0000-0000772C0000}"/>
    <cellStyle name="Neutral 5" xfId="11384" xr:uid="{00000000-0005-0000-0000-0000782C0000}"/>
    <cellStyle name="Neutral 5 2" xfId="11385" xr:uid="{00000000-0005-0000-0000-0000792C0000}"/>
    <cellStyle name="Neutral 5 2 2" xfId="11386" xr:uid="{00000000-0005-0000-0000-00007A2C0000}"/>
    <cellStyle name="Neutral 5 3" xfId="11387" xr:uid="{00000000-0005-0000-0000-00007B2C0000}"/>
    <cellStyle name="Neutral 5 3 2" xfId="11388" xr:uid="{00000000-0005-0000-0000-00007C2C0000}"/>
    <cellStyle name="Neutral 5 3 2 2" xfId="11389" xr:uid="{00000000-0005-0000-0000-00007D2C0000}"/>
    <cellStyle name="Neutral 5 3 3" xfId="11390" xr:uid="{00000000-0005-0000-0000-00007E2C0000}"/>
    <cellStyle name="Neutral 5 4" xfId="11391" xr:uid="{00000000-0005-0000-0000-00007F2C0000}"/>
    <cellStyle name="Neutral 6" xfId="11392" xr:uid="{00000000-0005-0000-0000-0000802C0000}"/>
    <cellStyle name="Neutral 6 2" xfId="11393" xr:uid="{00000000-0005-0000-0000-0000812C0000}"/>
    <cellStyle name="Neutral 6 2 2" xfId="11394" xr:uid="{00000000-0005-0000-0000-0000822C0000}"/>
    <cellStyle name="Neutral 6 3" xfId="11395" xr:uid="{00000000-0005-0000-0000-0000832C0000}"/>
    <cellStyle name="Neutral 7" xfId="11396" xr:uid="{00000000-0005-0000-0000-0000842C0000}"/>
    <cellStyle name="Neutral 7 2" xfId="11397" xr:uid="{00000000-0005-0000-0000-0000852C0000}"/>
    <cellStyle name="Neutral 8" xfId="11398" xr:uid="{00000000-0005-0000-0000-0000862C0000}"/>
    <cellStyle name="Neutral 9" xfId="11399" xr:uid="{00000000-0005-0000-0000-0000872C0000}"/>
    <cellStyle name="no dec" xfId="11400" xr:uid="{00000000-0005-0000-0000-0000882C0000}"/>
    <cellStyle name="Normal" xfId="0" builtinId="0"/>
    <cellStyle name="Normal - Style1" xfId="11401" xr:uid="{00000000-0005-0000-0000-0000892C0000}"/>
    <cellStyle name="Normal - Style1 2" xfId="11402" xr:uid="{00000000-0005-0000-0000-00008A2C0000}"/>
    <cellStyle name="Normal - Style1 2 2" xfId="11403" xr:uid="{00000000-0005-0000-0000-00008B2C0000}"/>
    <cellStyle name="Normal - Style1 3" xfId="11404" xr:uid="{00000000-0005-0000-0000-00008C2C0000}"/>
    <cellStyle name="Normal - Style1 3 2" xfId="11405" xr:uid="{00000000-0005-0000-0000-00008D2C0000}"/>
    <cellStyle name="Normal - Style1 4" xfId="11406" xr:uid="{00000000-0005-0000-0000-00008E2C0000}"/>
    <cellStyle name="Normal - Style1 5" xfId="11407" xr:uid="{00000000-0005-0000-0000-00008F2C0000}"/>
    <cellStyle name="Normal 10" xfId="47" xr:uid="{00000000-0005-0000-0000-00002F000000}"/>
    <cellStyle name="Normal 10 2" xfId="11408" xr:uid="{00000000-0005-0000-0000-0000902C0000}"/>
    <cellStyle name="Normal 10 2 2" xfId="11409" xr:uid="{00000000-0005-0000-0000-0000912C0000}"/>
    <cellStyle name="Normal 10 2 2 2" xfId="11410" xr:uid="{00000000-0005-0000-0000-0000922C0000}"/>
    <cellStyle name="Normal 10 2 3" xfId="11411" xr:uid="{00000000-0005-0000-0000-0000932C0000}"/>
    <cellStyle name="Normal 10 2 3 2" xfId="11412" xr:uid="{00000000-0005-0000-0000-0000942C0000}"/>
    <cellStyle name="Normal 10 2 3 2 2" xfId="11413" xr:uid="{00000000-0005-0000-0000-0000952C0000}"/>
    <cellStyle name="Normal 10 2 3 3" xfId="11414" xr:uid="{00000000-0005-0000-0000-0000962C0000}"/>
    <cellStyle name="Normal 10 2 4" xfId="11415" xr:uid="{00000000-0005-0000-0000-0000972C0000}"/>
    <cellStyle name="Normal 10 3" xfId="11416" xr:uid="{00000000-0005-0000-0000-0000982C0000}"/>
    <cellStyle name="Normal 10 3 2" xfId="11417" xr:uid="{00000000-0005-0000-0000-0000992C0000}"/>
    <cellStyle name="Normal 10 3 2 2" xfId="11418" xr:uid="{00000000-0005-0000-0000-00009A2C0000}"/>
    <cellStyle name="Normal 10 3 2 2 2" xfId="11419" xr:uid="{00000000-0005-0000-0000-00009B2C0000}"/>
    <cellStyle name="Normal 10 3 2 3" xfId="11420" xr:uid="{00000000-0005-0000-0000-00009C2C0000}"/>
    <cellStyle name="Normal 10 3 3" xfId="11421" xr:uid="{00000000-0005-0000-0000-00009D2C0000}"/>
    <cellStyle name="Normal 10 3 3 2" xfId="11422" xr:uid="{00000000-0005-0000-0000-00009E2C0000}"/>
    <cellStyle name="Normal 10 3 3 2 2" xfId="11423" xr:uid="{00000000-0005-0000-0000-00009F2C0000}"/>
    <cellStyle name="Normal 10 3 3 3" xfId="11424" xr:uid="{00000000-0005-0000-0000-0000A02C0000}"/>
    <cellStyle name="Normal 10 3 4" xfId="11425" xr:uid="{00000000-0005-0000-0000-0000A12C0000}"/>
    <cellStyle name="Normal 10 4" xfId="11426" xr:uid="{00000000-0005-0000-0000-0000A22C0000}"/>
    <cellStyle name="Normal 10 4 2" xfId="11427" xr:uid="{00000000-0005-0000-0000-0000A32C0000}"/>
    <cellStyle name="Normal 10 5" xfId="11428" xr:uid="{00000000-0005-0000-0000-0000A42C0000}"/>
    <cellStyle name="Normal 10 5 2" xfId="11429" xr:uid="{00000000-0005-0000-0000-0000A52C0000}"/>
    <cellStyle name="Normal 10 5 2 2" xfId="11430" xr:uid="{00000000-0005-0000-0000-0000A62C0000}"/>
    <cellStyle name="Normal 10 5 3" xfId="11431" xr:uid="{00000000-0005-0000-0000-0000A72C0000}"/>
    <cellStyle name="Normal 10 6" xfId="11432" xr:uid="{00000000-0005-0000-0000-0000A82C0000}"/>
    <cellStyle name="Normal 10 6 2" xfId="11433" xr:uid="{00000000-0005-0000-0000-0000A92C0000}"/>
    <cellStyle name="Normal 10 6 2 2" xfId="11434" xr:uid="{00000000-0005-0000-0000-0000AA2C0000}"/>
    <cellStyle name="Normal 10 6 3" xfId="11435" xr:uid="{00000000-0005-0000-0000-0000AB2C0000}"/>
    <cellStyle name="Normal 10 7" xfId="11436" xr:uid="{00000000-0005-0000-0000-0000AC2C0000}"/>
    <cellStyle name="Normal 10 7 2" xfId="11437" xr:uid="{00000000-0005-0000-0000-0000AD2C0000}"/>
    <cellStyle name="Normal 10 7 2 2" xfId="11438" xr:uid="{00000000-0005-0000-0000-0000AE2C0000}"/>
    <cellStyle name="Normal 10 7 3" xfId="11439" xr:uid="{00000000-0005-0000-0000-0000AF2C0000}"/>
    <cellStyle name="Normal 10 8" xfId="11440" xr:uid="{00000000-0005-0000-0000-0000B02C0000}"/>
    <cellStyle name="Normal 10 9" xfId="11441" xr:uid="{00000000-0005-0000-0000-0000B12C0000}"/>
    <cellStyle name="Normal 100" xfId="11442" xr:uid="{00000000-0005-0000-0000-0000B22C0000}"/>
    <cellStyle name="Normal 100 2" xfId="11443" xr:uid="{00000000-0005-0000-0000-0000B32C0000}"/>
    <cellStyle name="Normal 100 2 2" xfId="11444" xr:uid="{00000000-0005-0000-0000-0000B42C0000}"/>
    <cellStyle name="Normal 100 2 2 2" xfId="11445" xr:uid="{00000000-0005-0000-0000-0000B52C0000}"/>
    <cellStyle name="Normal 100 2 3" xfId="11446" xr:uid="{00000000-0005-0000-0000-0000B62C0000}"/>
    <cellStyle name="Normal 100 3" xfId="11447" xr:uid="{00000000-0005-0000-0000-0000B72C0000}"/>
    <cellStyle name="Normal 100 3 2" xfId="11448" xr:uid="{00000000-0005-0000-0000-0000B82C0000}"/>
    <cellStyle name="Normal 100 3 2 2" xfId="11449" xr:uid="{00000000-0005-0000-0000-0000B92C0000}"/>
    <cellStyle name="Normal 100 3 3" xfId="11450" xr:uid="{00000000-0005-0000-0000-0000BA2C0000}"/>
    <cellStyle name="Normal 100 3 3 2" xfId="11451" xr:uid="{00000000-0005-0000-0000-0000BB2C0000}"/>
    <cellStyle name="Normal 100 3 3 2 2" xfId="11452" xr:uid="{00000000-0005-0000-0000-0000BC2C0000}"/>
    <cellStyle name="Normal 100 3 3 3" xfId="11453" xr:uid="{00000000-0005-0000-0000-0000BD2C0000}"/>
    <cellStyle name="Normal 100 3 4" xfId="11454" xr:uid="{00000000-0005-0000-0000-0000BE2C0000}"/>
    <cellStyle name="Normal 100 4" xfId="11455" xr:uid="{00000000-0005-0000-0000-0000BF2C0000}"/>
    <cellStyle name="Normal 100 4 2" xfId="11456" xr:uid="{00000000-0005-0000-0000-0000C02C0000}"/>
    <cellStyle name="Normal 100 4 2 2" xfId="11457" xr:uid="{00000000-0005-0000-0000-0000C12C0000}"/>
    <cellStyle name="Normal 100 4 3" xfId="11458" xr:uid="{00000000-0005-0000-0000-0000C22C0000}"/>
    <cellStyle name="Normal 100 5" xfId="11459" xr:uid="{00000000-0005-0000-0000-0000C32C0000}"/>
    <cellStyle name="Normal 101" xfId="11460" xr:uid="{00000000-0005-0000-0000-0000C42C0000}"/>
    <cellStyle name="Normal 101 2" xfId="11461" xr:uid="{00000000-0005-0000-0000-0000C52C0000}"/>
    <cellStyle name="Normal 101 2 2" xfId="11462" xr:uid="{00000000-0005-0000-0000-0000C62C0000}"/>
    <cellStyle name="Normal 101 2 2 2" xfId="11463" xr:uid="{00000000-0005-0000-0000-0000C72C0000}"/>
    <cellStyle name="Normal 101 2 3" xfId="11464" xr:uid="{00000000-0005-0000-0000-0000C82C0000}"/>
    <cellStyle name="Normal 101 3" xfId="11465" xr:uid="{00000000-0005-0000-0000-0000C92C0000}"/>
    <cellStyle name="Normal 101 3 2" xfId="11466" xr:uid="{00000000-0005-0000-0000-0000CA2C0000}"/>
    <cellStyle name="Normal 101 3 2 2" xfId="11467" xr:uid="{00000000-0005-0000-0000-0000CB2C0000}"/>
    <cellStyle name="Normal 101 3 3" xfId="11468" xr:uid="{00000000-0005-0000-0000-0000CC2C0000}"/>
    <cellStyle name="Normal 101 3 3 2" xfId="11469" xr:uid="{00000000-0005-0000-0000-0000CD2C0000}"/>
    <cellStyle name="Normal 101 3 3 2 2" xfId="11470" xr:uid="{00000000-0005-0000-0000-0000CE2C0000}"/>
    <cellStyle name="Normal 101 3 3 3" xfId="11471" xr:uid="{00000000-0005-0000-0000-0000CF2C0000}"/>
    <cellStyle name="Normal 101 3 4" xfId="11472" xr:uid="{00000000-0005-0000-0000-0000D02C0000}"/>
    <cellStyle name="Normal 101 4" xfId="11473" xr:uid="{00000000-0005-0000-0000-0000D12C0000}"/>
    <cellStyle name="Normal 101 4 2" xfId="11474" xr:uid="{00000000-0005-0000-0000-0000D22C0000}"/>
    <cellStyle name="Normal 101 4 2 2" xfId="11475" xr:uid="{00000000-0005-0000-0000-0000D32C0000}"/>
    <cellStyle name="Normal 101 4 3" xfId="11476" xr:uid="{00000000-0005-0000-0000-0000D42C0000}"/>
    <cellStyle name="Normal 101 5" xfId="11477" xr:uid="{00000000-0005-0000-0000-0000D52C0000}"/>
    <cellStyle name="Normal 102" xfId="11478" xr:uid="{00000000-0005-0000-0000-0000D62C0000}"/>
    <cellStyle name="Normal 102 2" xfId="11479" xr:uid="{00000000-0005-0000-0000-0000D72C0000}"/>
    <cellStyle name="Normal 102 2 2" xfId="11480" xr:uid="{00000000-0005-0000-0000-0000D82C0000}"/>
    <cellStyle name="Normal 102 2 2 2" xfId="11481" xr:uid="{00000000-0005-0000-0000-0000D92C0000}"/>
    <cellStyle name="Normal 102 2 3" xfId="11482" xr:uid="{00000000-0005-0000-0000-0000DA2C0000}"/>
    <cellStyle name="Normal 102 3" xfId="11483" xr:uid="{00000000-0005-0000-0000-0000DB2C0000}"/>
    <cellStyle name="Normal 102 3 2" xfId="11484" xr:uid="{00000000-0005-0000-0000-0000DC2C0000}"/>
    <cellStyle name="Normal 102 3 2 2" xfId="11485" xr:uid="{00000000-0005-0000-0000-0000DD2C0000}"/>
    <cellStyle name="Normal 102 3 3" xfId="11486" xr:uid="{00000000-0005-0000-0000-0000DE2C0000}"/>
    <cellStyle name="Normal 102 3 3 2" xfId="11487" xr:uid="{00000000-0005-0000-0000-0000DF2C0000}"/>
    <cellStyle name="Normal 102 3 3 2 2" xfId="11488" xr:uid="{00000000-0005-0000-0000-0000E02C0000}"/>
    <cellStyle name="Normal 102 3 3 3" xfId="11489" xr:uid="{00000000-0005-0000-0000-0000E12C0000}"/>
    <cellStyle name="Normal 102 3 4" xfId="11490" xr:uid="{00000000-0005-0000-0000-0000E22C0000}"/>
    <cellStyle name="Normal 102 4" xfId="11491" xr:uid="{00000000-0005-0000-0000-0000E32C0000}"/>
    <cellStyle name="Normal 102 4 2" xfId="11492" xr:uid="{00000000-0005-0000-0000-0000E42C0000}"/>
    <cellStyle name="Normal 102 4 2 2" xfId="11493" xr:uid="{00000000-0005-0000-0000-0000E52C0000}"/>
    <cellStyle name="Normal 102 4 3" xfId="11494" xr:uid="{00000000-0005-0000-0000-0000E62C0000}"/>
    <cellStyle name="Normal 102 5" xfId="11495" xr:uid="{00000000-0005-0000-0000-0000E72C0000}"/>
    <cellStyle name="Normal 103" xfId="11496" xr:uid="{00000000-0005-0000-0000-0000E82C0000}"/>
    <cellStyle name="Normal 103 2" xfId="11497" xr:uid="{00000000-0005-0000-0000-0000E92C0000}"/>
    <cellStyle name="Normal 103 2 2" xfId="11498" xr:uid="{00000000-0005-0000-0000-0000EA2C0000}"/>
    <cellStyle name="Normal 103 2 2 2" xfId="11499" xr:uid="{00000000-0005-0000-0000-0000EB2C0000}"/>
    <cellStyle name="Normal 103 2 3" xfId="11500" xr:uid="{00000000-0005-0000-0000-0000EC2C0000}"/>
    <cellStyle name="Normal 103 3" xfId="11501" xr:uid="{00000000-0005-0000-0000-0000ED2C0000}"/>
    <cellStyle name="Normal 103 3 2" xfId="11502" xr:uid="{00000000-0005-0000-0000-0000EE2C0000}"/>
    <cellStyle name="Normal 103 3 2 2" xfId="11503" xr:uid="{00000000-0005-0000-0000-0000EF2C0000}"/>
    <cellStyle name="Normal 103 3 3" xfId="11504" xr:uid="{00000000-0005-0000-0000-0000F02C0000}"/>
    <cellStyle name="Normal 103 3 3 2" xfId="11505" xr:uid="{00000000-0005-0000-0000-0000F12C0000}"/>
    <cellStyle name="Normal 103 3 3 2 2" xfId="11506" xr:uid="{00000000-0005-0000-0000-0000F22C0000}"/>
    <cellStyle name="Normal 103 3 3 3" xfId="11507" xr:uid="{00000000-0005-0000-0000-0000F32C0000}"/>
    <cellStyle name="Normal 103 3 4" xfId="11508" xr:uid="{00000000-0005-0000-0000-0000F42C0000}"/>
    <cellStyle name="Normal 103 4" xfId="11509" xr:uid="{00000000-0005-0000-0000-0000F52C0000}"/>
    <cellStyle name="Normal 103 4 2" xfId="11510" xr:uid="{00000000-0005-0000-0000-0000F62C0000}"/>
    <cellStyle name="Normal 103 4 2 2" xfId="11511" xr:uid="{00000000-0005-0000-0000-0000F72C0000}"/>
    <cellStyle name="Normal 103 4 3" xfId="11512" xr:uid="{00000000-0005-0000-0000-0000F82C0000}"/>
    <cellStyle name="Normal 103 5" xfId="11513" xr:uid="{00000000-0005-0000-0000-0000F92C0000}"/>
    <cellStyle name="Normal 104" xfId="11514" xr:uid="{00000000-0005-0000-0000-0000FA2C0000}"/>
    <cellStyle name="Normal 104 2" xfId="11515" xr:uid="{00000000-0005-0000-0000-0000FB2C0000}"/>
    <cellStyle name="Normal 104 2 2" xfId="11516" xr:uid="{00000000-0005-0000-0000-0000FC2C0000}"/>
    <cellStyle name="Normal 104 2 2 2" xfId="11517" xr:uid="{00000000-0005-0000-0000-0000FD2C0000}"/>
    <cellStyle name="Normal 104 2 3" xfId="11518" xr:uid="{00000000-0005-0000-0000-0000FE2C0000}"/>
    <cellStyle name="Normal 104 3" xfId="11519" xr:uid="{00000000-0005-0000-0000-0000FF2C0000}"/>
    <cellStyle name="Normal 104 3 2" xfId="11520" xr:uid="{00000000-0005-0000-0000-0000002D0000}"/>
    <cellStyle name="Normal 104 3 2 2" xfId="11521" xr:uid="{00000000-0005-0000-0000-0000012D0000}"/>
    <cellStyle name="Normal 104 3 3" xfId="11522" xr:uid="{00000000-0005-0000-0000-0000022D0000}"/>
    <cellStyle name="Normal 104 3 3 2" xfId="11523" xr:uid="{00000000-0005-0000-0000-0000032D0000}"/>
    <cellStyle name="Normal 104 3 3 2 2" xfId="11524" xr:uid="{00000000-0005-0000-0000-0000042D0000}"/>
    <cellStyle name="Normal 104 3 3 3" xfId="11525" xr:uid="{00000000-0005-0000-0000-0000052D0000}"/>
    <cellStyle name="Normal 104 3 4" xfId="11526" xr:uid="{00000000-0005-0000-0000-0000062D0000}"/>
    <cellStyle name="Normal 104 4" xfId="11527" xr:uid="{00000000-0005-0000-0000-0000072D0000}"/>
    <cellStyle name="Normal 104 4 2" xfId="11528" xr:uid="{00000000-0005-0000-0000-0000082D0000}"/>
    <cellStyle name="Normal 104 4 2 2" xfId="11529" xr:uid="{00000000-0005-0000-0000-0000092D0000}"/>
    <cellStyle name="Normal 104 4 3" xfId="11530" xr:uid="{00000000-0005-0000-0000-00000A2D0000}"/>
    <cellStyle name="Normal 104 5" xfId="11531" xr:uid="{00000000-0005-0000-0000-00000B2D0000}"/>
    <cellStyle name="Normal 105" xfId="11532" xr:uid="{00000000-0005-0000-0000-00000C2D0000}"/>
    <cellStyle name="Normal 105 2" xfId="11533" xr:uid="{00000000-0005-0000-0000-00000D2D0000}"/>
    <cellStyle name="Normal 105 2 2" xfId="11534" xr:uid="{00000000-0005-0000-0000-00000E2D0000}"/>
    <cellStyle name="Normal 105 2 2 2" xfId="11535" xr:uid="{00000000-0005-0000-0000-00000F2D0000}"/>
    <cellStyle name="Normal 105 2 3" xfId="11536" xr:uid="{00000000-0005-0000-0000-0000102D0000}"/>
    <cellStyle name="Normal 105 3" xfId="11537" xr:uid="{00000000-0005-0000-0000-0000112D0000}"/>
    <cellStyle name="Normal 105 3 2" xfId="11538" xr:uid="{00000000-0005-0000-0000-0000122D0000}"/>
    <cellStyle name="Normal 105 3 2 2" xfId="11539" xr:uid="{00000000-0005-0000-0000-0000132D0000}"/>
    <cellStyle name="Normal 105 3 3" xfId="11540" xr:uid="{00000000-0005-0000-0000-0000142D0000}"/>
    <cellStyle name="Normal 105 3 3 2" xfId="11541" xr:uid="{00000000-0005-0000-0000-0000152D0000}"/>
    <cellStyle name="Normal 105 3 3 2 2" xfId="11542" xr:uid="{00000000-0005-0000-0000-0000162D0000}"/>
    <cellStyle name="Normal 105 3 3 3" xfId="11543" xr:uid="{00000000-0005-0000-0000-0000172D0000}"/>
    <cellStyle name="Normal 105 3 4" xfId="11544" xr:uid="{00000000-0005-0000-0000-0000182D0000}"/>
    <cellStyle name="Normal 105 4" xfId="11545" xr:uid="{00000000-0005-0000-0000-0000192D0000}"/>
    <cellStyle name="Normal 105 4 2" xfId="11546" xr:uid="{00000000-0005-0000-0000-00001A2D0000}"/>
    <cellStyle name="Normal 105 4 2 2" xfId="11547" xr:uid="{00000000-0005-0000-0000-00001B2D0000}"/>
    <cellStyle name="Normal 105 4 3" xfId="11548" xr:uid="{00000000-0005-0000-0000-00001C2D0000}"/>
    <cellStyle name="Normal 105 5" xfId="11549" xr:uid="{00000000-0005-0000-0000-00001D2D0000}"/>
    <cellStyle name="Normal 106" xfId="11550" xr:uid="{00000000-0005-0000-0000-00001E2D0000}"/>
    <cellStyle name="Normal 106 2" xfId="11551" xr:uid="{00000000-0005-0000-0000-00001F2D0000}"/>
    <cellStyle name="Normal 106 2 2" xfId="11552" xr:uid="{00000000-0005-0000-0000-0000202D0000}"/>
    <cellStyle name="Normal 106 2 2 2" xfId="11553" xr:uid="{00000000-0005-0000-0000-0000212D0000}"/>
    <cellStyle name="Normal 106 2 3" xfId="11554" xr:uid="{00000000-0005-0000-0000-0000222D0000}"/>
    <cellStyle name="Normal 106 3" xfId="11555" xr:uid="{00000000-0005-0000-0000-0000232D0000}"/>
    <cellStyle name="Normal 106 3 2" xfId="11556" xr:uid="{00000000-0005-0000-0000-0000242D0000}"/>
    <cellStyle name="Normal 106 3 2 2" xfId="11557" xr:uid="{00000000-0005-0000-0000-0000252D0000}"/>
    <cellStyle name="Normal 106 3 3" xfId="11558" xr:uid="{00000000-0005-0000-0000-0000262D0000}"/>
    <cellStyle name="Normal 106 3 3 2" xfId="11559" xr:uid="{00000000-0005-0000-0000-0000272D0000}"/>
    <cellStyle name="Normal 106 3 3 2 2" xfId="11560" xr:uid="{00000000-0005-0000-0000-0000282D0000}"/>
    <cellStyle name="Normal 106 3 3 3" xfId="11561" xr:uid="{00000000-0005-0000-0000-0000292D0000}"/>
    <cellStyle name="Normal 106 3 4" xfId="11562" xr:uid="{00000000-0005-0000-0000-00002A2D0000}"/>
    <cellStyle name="Normal 106 4" xfId="11563" xr:uid="{00000000-0005-0000-0000-00002B2D0000}"/>
    <cellStyle name="Normal 106 4 2" xfId="11564" xr:uid="{00000000-0005-0000-0000-00002C2D0000}"/>
    <cellStyle name="Normal 106 4 2 2" xfId="11565" xr:uid="{00000000-0005-0000-0000-00002D2D0000}"/>
    <cellStyle name="Normal 106 4 3" xfId="11566" xr:uid="{00000000-0005-0000-0000-00002E2D0000}"/>
    <cellStyle name="Normal 106 5" xfId="11567" xr:uid="{00000000-0005-0000-0000-00002F2D0000}"/>
    <cellStyle name="Normal 107" xfId="11568" xr:uid="{00000000-0005-0000-0000-0000302D0000}"/>
    <cellStyle name="Normal 107 2" xfId="11569" xr:uid="{00000000-0005-0000-0000-0000312D0000}"/>
    <cellStyle name="Normal 107 2 2" xfId="11570" xr:uid="{00000000-0005-0000-0000-0000322D0000}"/>
    <cellStyle name="Normal 107 2 2 2" xfId="11571" xr:uid="{00000000-0005-0000-0000-0000332D0000}"/>
    <cellStyle name="Normal 107 2 3" xfId="11572" xr:uid="{00000000-0005-0000-0000-0000342D0000}"/>
    <cellStyle name="Normal 107 3" xfId="11573" xr:uid="{00000000-0005-0000-0000-0000352D0000}"/>
    <cellStyle name="Normal 107 3 2" xfId="11574" xr:uid="{00000000-0005-0000-0000-0000362D0000}"/>
    <cellStyle name="Normal 107 3 2 2" xfId="11575" xr:uid="{00000000-0005-0000-0000-0000372D0000}"/>
    <cellStyle name="Normal 107 3 3" xfId="11576" xr:uid="{00000000-0005-0000-0000-0000382D0000}"/>
    <cellStyle name="Normal 107 3 3 2" xfId="11577" xr:uid="{00000000-0005-0000-0000-0000392D0000}"/>
    <cellStyle name="Normal 107 3 3 2 2" xfId="11578" xr:uid="{00000000-0005-0000-0000-00003A2D0000}"/>
    <cellStyle name="Normal 107 3 3 3" xfId="11579" xr:uid="{00000000-0005-0000-0000-00003B2D0000}"/>
    <cellStyle name="Normal 107 3 4" xfId="11580" xr:uid="{00000000-0005-0000-0000-00003C2D0000}"/>
    <cellStyle name="Normal 107 4" xfId="11581" xr:uid="{00000000-0005-0000-0000-00003D2D0000}"/>
    <cellStyle name="Normal 107 4 2" xfId="11582" xr:uid="{00000000-0005-0000-0000-00003E2D0000}"/>
    <cellStyle name="Normal 107 4 2 2" xfId="11583" xr:uid="{00000000-0005-0000-0000-00003F2D0000}"/>
    <cellStyle name="Normal 107 4 3" xfId="11584" xr:uid="{00000000-0005-0000-0000-0000402D0000}"/>
    <cellStyle name="Normal 107 5" xfId="11585" xr:uid="{00000000-0005-0000-0000-0000412D0000}"/>
    <cellStyle name="Normal 108" xfId="11586" xr:uid="{00000000-0005-0000-0000-0000422D0000}"/>
    <cellStyle name="Normal 108 2" xfId="11587" xr:uid="{00000000-0005-0000-0000-0000432D0000}"/>
    <cellStyle name="Normal 108 2 2" xfId="11588" xr:uid="{00000000-0005-0000-0000-0000442D0000}"/>
    <cellStyle name="Normal 108 2 2 2" xfId="11589" xr:uid="{00000000-0005-0000-0000-0000452D0000}"/>
    <cellStyle name="Normal 108 2 3" xfId="11590" xr:uid="{00000000-0005-0000-0000-0000462D0000}"/>
    <cellStyle name="Normal 108 3" xfId="11591" xr:uid="{00000000-0005-0000-0000-0000472D0000}"/>
    <cellStyle name="Normal 108 3 2" xfId="11592" xr:uid="{00000000-0005-0000-0000-0000482D0000}"/>
    <cellStyle name="Normal 108 3 2 2" xfId="11593" xr:uid="{00000000-0005-0000-0000-0000492D0000}"/>
    <cellStyle name="Normal 108 3 3" xfId="11594" xr:uid="{00000000-0005-0000-0000-00004A2D0000}"/>
    <cellStyle name="Normal 108 3 3 2" xfId="11595" xr:uid="{00000000-0005-0000-0000-00004B2D0000}"/>
    <cellStyle name="Normal 108 3 3 2 2" xfId="11596" xr:uid="{00000000-0005-0000-0000-00004C2D0000}"/>
    <cellStyle name="Normal 108 3 3 3" xfId="11597" xr:uid="{00000000-0005-0000-0000-00004D2D0000}"/>
    <cellStyle name="Normal 108 3 4" xfId="11598" xr:uid="{00000000-0005-0000-0000-00004E2D0000}"/>
    <cellStyle name="Normal 108 4" xfId="11599" xr:uid="{00000000-0005-0000-0000-00004F2D0000}"/>
    <cellStyle name="Normal 108 4 2" xfId="11600" xr:uid="{00000000-0005-0000-0000-0000502D0000}"/>
    <cellStyle name="Normal 108 4 2 2" xfId="11601" xr:uid="{00000000-0005-0000-0000-0000512D0000}"/>
    <cellStyle name="Normal 108 4 3" xfId="11602" xr:uid="{00000000-0005-0000-0000-0000522D0000}"/>
    <cellStyle name="Normal 108 5" xfId="11603" xr:uid="{00000000-0005-0000-0000-0000532D0000}"/>
    <cellStyle name="Normal 109" xfId="11604" xr:uid="{00000000-0005-0000-0000-0000542D0000}"/>
    <cellStyle name="Normal 109 2" xfId="11605" xr:uid="{00000000-0005-0000-0000-0000552D0000}"/>
    <cellStyle name="Normal 109 2 2" xfId="11606" xr:uid="{00000000-0005-0000-0000-0000562D0000}"/>
    <cellStyle name="Normal 109 2 2 2" xfId="11607" xr:uid="{00000000-0005-0000-0000-0000572D0000}"/>
    <cellStyle name="Normal 109 2 3" xfId="11608" xr:uid="{00000000-0005-0000-0000-0000582D0000}"/>
    <cellStyle name="Normal 109 3" xfId="11609" xr:uid="{00000000-0005-0000-0000-0000592D0000}"/>
    <cellStyle name="Normal 109 3 2" xfId="11610" xr:uid="{00000000-0005-0000-0000-00005A2D0000}"/>
    <cellStyle name="Normal 109 3 2 2" xfId="11611" xr:uid="{00000000-0005-0000-0000-00005B2D0000}"/>
    <cellStyle name="Normal 109 3 3" xfId="11612" xr:uid="{00000000-0005-0000-0000-00005C2D0000}"/>
    <cellStyle name="Normal 109 3 3 2" xfId="11613" xr:uid="{00000000-0005-0000-0000-00005D2D0000}"/>
    <cellStyle name="Normal 109 3 3 2 2" xfId="11614" xr:uid="{00000000-0005-0000-0000-00005E2D0000}"/>
    <cellStyle name="Normal 109 3 3 3" xfId="11615" xr:uid="{00000000-0005-0000-0000-00005F2D0000}"/>
    <cellStyle name="Normal 109 3 4" xfId="11616" xr:uid="{00000000-0005-0000-0000-0000602D0000}"/>
    <cellStyle name="Normal 109 4" xfId="11617" xr:uid="{00000000-0005-0000-0000-0000612D0000}"/>
    <cellStyle name="Normal 109 4 2" xfId="11618" xr:uid="{00000000-0005-0000-0000-0000622D0000}"/>
    <cellStyle name="Normal 109 4 2 2" xfId="11619" xr:uid="{00000000-0005-0000-0000-0000632D0000}"/>
    <cellStyle name="Normal 109 4 3" xfId="11620" xr:uid="{00000000-0005-0000-0000-0000642D0000}"/>
    <cellStyle name="Normal 109 5" xfId="11621" xr:uid="{00000000-0005-0000-0000-0000652D0000}"/>
    <cellStyle name="Normal 11" xfId="59" xr:uid="{00000000-0005-0000-0000-00003B000000}"/>
    <cellStyle name="Normal 11 2" xfId="11622" xr:uid="{00000000-0005-0000-0000-0000662D0000}"/>
    <cellStyle name="Normal 11 2 2" xfId="11623" xr:uid="{00000000-0005-0000-0000-0000672D0000}"/>
    <cellStyle name="Normal 11 2 2 2" xfId="11624" xr:uid="{00000000-0005-0000-0000-0000682D0000}"/>
    <cellStyle name="Normal 11 2 3" xfId="11625" xr:uid="{00000000-0005-0000-0000-0000692D0000}"/>
    <cellStyle name="Normal 11 2 3 2" xfId="11626" xr:uid="{00000000-0005-0000-0000-00006A2D0000}"/>
    <cellStyle name="Normal 11 2 3 2 2" xfId="11627" xr:uid="{00000000-0005-0000-0000-00006B2D0000}"/>
    <cellStyle name="Normal 11 2 3 3" xfId="11628" xr:uid="{00000000-0005-0000-0000-00006C2D0000}"/>
    <cellStyle name="Normal 11 2 4" xfId="11629" xr:uid="{00000000-0005-0000-0000-00006D2D0000}"/>
    <cellStyle name="Normal 11 2 5" xfId="11630" xr:uid="{00000000-0005-0000-0000-00006E2D0000}"/>
    <cellStyle name="Normal 11 3" xfId="11631" xr:uid="{00000000-0005-0000-0000-00006F2D0000}"/>
    <cellStyle name="Normal 11 3 2" xfId="11632" xr:uid="{00000000-0005-0000-0000-0000702D0000}"/>
    <cellStyle name="Normal 11 3 2 2" xfId="11633" xr:uid="{00000000-0005-0000-0000-0000712D0000}"/>
    <cellStyle name="Normal 11 3 2 2 2" xfId="11634" xr:uid="{00000000-0005-0000-0000-0000722D0000}"/>
    <cellStyle name="Normal 11 3 2 3" xfId="11635" xr:uid="{00000000-0005-0000-0000-0000732D0000}"/>
    <cellStyle name="Normal 11 3 3" xfId="11636" xr:uid="{00000000-0005-0000-0000-0000742D0000}"/>
    <cellStyle name="Normal 11 3 3 2" xfId="11637" xr:uid="{00000000-0005-0000-0000-0000752D0000}"/>
    <cellStyle name="Normal 11 3 3 2 2" xfId="11638" xr:uid="{00000000-0005-0000-0000-0000762D0000}"/>
    <cellStyle name="Normal 11 3 3 3" xfId="11639" xr:uid="{00000000-0005-0000-0000-0000772D0000}"/>
    <cellStyle name="Normal 11 3 4" xfId="11640" xr:uid="{00000000-0005-0000-0000-0000782D0000}"/>
    <cellStyle name="Normal 11 4" xfId="11641" xr:uid="{00000000-0005-0000-0000-0000792D0000}"/>
    <cellStyle name="Normal 11 4 2" xfId="11642" xr:uid="{00000000-0005-0000-0000-00007A2D0000}"/>
    <cellStyle name="Normal 11 5" xfId="11643" xr:uid="{00000000-0005-0000-0000-00007B2D0000}"/>
    <cellStyle name="Normal 11 5 2" xfId="11644" xr:uid="{00000000-0005-0000-0000-00007C2D0000}"/>
    <cellStyle name="Normal 11 5 2 2" xfId="11645" xr:uid="{00000000-0005-0000-0000-00007D2D0000}"/>
    <cellStyle name="Normal 11 5 3" xfId="11646" xr:uid="{00000000-0005-0000-0000-00007E2D0000}"/>
    <cellStyle name="Normal 11 6" xfId="11647" xr:uid="{00000000-0005-0000-0000-00007F2D0000}"/>
    <cellStyle name="Normal 11 6 2" xfId="11648" xr:uid="{00000000-0005-0000-0000-0000802D0000}"/>
    <cellStyle name="Normal 11 6 2 2" xfId="11649" xr:uid="{00000000-0005-0000-0000-0000812D0000}"/>
    <cellStyle name="Normal 11 6 3" xfId="11650" xr:uid="{00000000-0005-0000-0000-0000822D0000}"/>
    <cellStyle name="Normal 11 7" xfId="11651" xr:uid="{00000000-0005-0000-0000-0000832D0000}"/>
    <cellStyle name="Normal 11 7 2" xfId="11652" xr:uid="{00000000-0005-0000-0000-0000842D0000}"/>
    <cellStyle name="Normal 11 8" xfId="11653" xr:uid="{00000000-0005-0000-0000-0000852D0000}"/>
    <cellStyle name="Normal 11 9" xfId="11654" xr:uid="{00000000-0005-0000-0000-0000862D0000}"/>
    <cellStyle name="Normal 110" xfId="11655" xr:uid="{00000000-0005-0000-0000-0000872D0000}"/>
    <cellStyle name="Normal 110 2" xfId="11656" xr:uid="{00000000-0005-0000-0000-0000882D0000}"/>
    <cellStyle name="Normal 110 2 2" xfId="11657" xr:uid="{00000000-0005-0000-0000-0000892D0000}"/>
    <cellStyle name="Normal 110 2 2 2" xfId="11658" xr:uid="{00000000-0005-0000-0000-00008A2D0000}"/>
    <cellStyle name="Normal 110 2 3" xfId="11659" xr:uid="{00000000-0005-0000-0000-00008B2D0000}"/>
    <cellStyle name="Normal 110 3" xfId="11660" xr:uid="{00000000-0005-0000-0000-00008C2D0000}"/>
    <cellStyle name="Normal 110 3 2" xfId="11661" xr:uid="{00000000-0005-0000-0000-00008D2D0000}"/>
    <cellStyle name="Normal 110 3 2 2" xfId="11662" xr:uid="{00000000-0005-0000-0000-00008E2D0000}"/>
    <cellStyle name="Normal 110 3 3" xfId="11663" xr:uid="{00000000-0005-0000-0000-00008F2D0000}"/>
    <cellStyle name="Normal 110 3 3 2" xfId="11664" xr:uid="{00000000-0005-0000-0000-0000902D0000}"/>
    <cellStyle name="Normal 110 3 3 2 2" xfId="11665" xr:uid="{00000000-0005-0000-0000-0000912D0000}"/>
    <cellStyle name="Normal 110 3 3 3" xfId="11666" xr:uid="{00000000-0005-0000-0000-0000922D0000}"/>
    <cellStyle name="Normal 110 3 4" xfId="11667" xr:uid="{00000000-0005-0000-0000-0000932D0000}"/>
    <cellStyle name="Normal 110 4" xfId="11668" xr:uid="{00000000-0005-0000-0000-0000942D0000}"/>
    <cellStyle name="Normal 110 4 2" xfId="11669" xr:uid="{00000000-0005-0000-0000-0000952D0000}"/>
    <cellStyle name="Normal 110 4 2 2" xfId="11670" xr:uid="{00000000-0005-0000-0000-0000962D0000}"/>
    <cellStyle name="Normal 110 4 3" xfId="11671" xr:uid="{00000000-0005-0000-0000-0000972D0000}"/>
    <cellStyle name="Normal 110 5" xfId="11672" xr:uid="{00000000-0005-0000-0000-0000982D0000}"/>
    <cellStyle name="Normal 111" xfId="11673" xr:uid="{00000000-0005-0000-0000-0000992D0000}"/>
    <cellStyle name="Normal 111 2" xfId="11674" xr:uid="{00000000-0005-0000-0000-00009A2D0000}"/>
    <cellStyle name="Normal 111 2 2" xfId="11675" xr:uid="{00000000-0005-0000-0000-00009B2D0000}"/>
    <cellStyle name="Normal 111 2 2 2" xfId="11676" xr:uid="{00000000-0005-0000-0000-00009C2D0000}"/>
    <cellStyle name="Normal 111 2 3" xfId="11677" xr:uid="{00000000-0005-0000-0000-00009D2D0000}"/>
    <cellStyle name="Normal 111 3" xfId="11678" xr:uid="{00000000-0005-0000-0000-00009E2D0000}"/>
    <cellStyle name="Normal 111 3 2" xfId="11679" xr:uid="{00000000-0005-0000-0000-00009F2D0000}"/>
    <cellStyle name="Normal 111 3 2 2" xfId="11680" xr:uid="{00000000-0005-0000-0000-0000A02D0000}"/>
    <cellStyle name="Normal 111 3 3" xfId="11681" xr:uid="{00000000-0005-0000-0000-0000A12D0000}"/>
    <cellStyle name="Normal 111 3 3 2" xfId="11682" xr:uid="{00000000-0005-0000-0000-0000A22D0000}"/>
    <cellStyle name="Normal 111 3 3 2 2" xfId="11683" xr:uid="{00000000-0005-0000-0000-0000A32D0000}"/>
    <cellStyle name="Normal 111 3 3 3" xfId="11684" xr:uid="{00000000-0005-0000-0000-0000A42D0000}"/>
    <cellStyle name="Normal 111 3 4" xfId="11685" xr:uid="{00000000-0005-0000-0000-0000A52D0000}"/>
    <cellStyle name="Normal 111 4" xfId="11686" xr:uid="{00000000-0005-0000-0000-0000A62D0000}"/>
    <cellStyle name="Normal 111 4 2" xfId="11687" xr:uid="{00000000-0005-0000-0000-0000A72D0000}"/>
    <cellStyle name="Normal 111 4 2 2" xfId="11688" xr:uid="{00000000-0005-0000-0000-0000A82D0000}"/>
    <cellStyle name="Normal 111 4 3" xfId="11689" xr:uid="{00000000-0005-0000-0000-0000A92D0000}"/>
    <cellStyle name="Normal 111 5" xfId="11690" xr:uid="{00000000-0005-0000-0000-0000AA2D0000}"/>
    <cellStyle name="Normal 112" xfId="11691" xr:uid="{00000000-0005-0000-0000-0000AB2D0000}"/>
    <cellStyle name="Normal 112 2" xfId="11692" xr:uid="{00000000-0005-0000-0000-0000AC2D0000}"/>
    <cellStyle name="Normal 112 2 2" xfId="11693" xr:uid="{00000000-0005-0000-0000-0000AD2D0000}"/>
    <cellStyle name="Normal 112 2 2 2" xfId="11694" xr:uid="{00000000-0005-0000-0000-0000AE2D0000}"/>
    <cellStyle name="Normal 112 2 3" xfId="11695" xr:uid="{00000000-0005-0000-0000-0000AF2D0000}"/>
    <cellStyle name="Normal 112 3" xfId="11696" xr:uid="{00000000-0005-0000-0000-0000B02D0000}"/>
    <cellStyle name="Normal 112 3 2" xfId="11697" xr:uid="{00000000-0005-0000-0000-0000B12D0000}"/>
    <cellStyle name="Normal 112 3 2 2" xfId="11698" xr:uid="{00000000-0005-0000-0000-0000B22D0000}"/>
    <cellStyle name="Normal 112 3 3" xfId="11699" xr:uid="{00000000-0005-0000-0000-0000B32D0000}"/>
    <cellStyle name="Normal 112 3 3 2" xfId="11700" xr:uid="{00000000-0005-0000-0000-0000B42D0000}"/>
    <cellStyle name="Normal 112 3 3 2 2" xfId="11701" xr:uid="{00000000-0005-0000-0000-0000B52D0000}"/>
    <cellStyle name="Normal 112 3 3 3" xfId="11702" xr:uid="{00000000-0005-0000-0000-0000B62D0000}"/>
    <cellStyle name="Normal 112 3 4" xfId="11703" xr:uid="{00000000-0005-0000-0000-0000B72D0000}"/>
    <cellStyle name="Normal 112 4" xfId="11704" xr:uid="{00000000-0005-0000-0000-0000B82D0000}"/>
    <cellStyle name="Normal 112 4 2" xfId="11705" xr:uid="{00000000-0005-0000-0000-0000B92D0000}"/>
    <cellStyle name="Normal 112 4 2 2" xfId="11706" xr:uid="{00000000-0005-0000-0000-0000BA2D0000}"/>
    <cellStyle name="Normal 112 4 3" xfId="11707" xr:uid="{00000000-0005-0000-0000-0000BB2D0000}"/>
    <cellStyle name="Normal 112 5" xfId="11708" xr:uid="{00000000-0005-0000-0000-0000BC2D0000}"/>
    <cellStyle name="Normal 113" xfId="11709" xr:uid="{00000000-0005-0000-0000-0000BD2D0000}"/>
    <cellStyle name="Normal 113 2" xfId="11710" xr:uid="{00000000-0005-0000-0000-0000BE2D0000}"/>
    <cellStyle name="Normal 113 2 2" xfId="11711" xr:uid="{00000000-0005-0000-0000-0000BF2D0000}"/>
    <cellStyle name="Normal 113 2 2 2" xfId="11712" xr:uid="{00000000-0005-0000-0000-0000C02D0000}"/>
    <cellStyle name="Normal 113 2 3" xfId="11713" xr:uid="{00000000-0005-0000-0000-0000C12D0000}"/>
    <cellStyle name="Normal 113 3" xfId="11714" xr:uid="{00000000-0005-0000-0000-0000C22D0000}"/>
    <cellStyle name="Normal 113 3 2" xfId="11715" xr:uid="{00000000-0005-0000-0000-0000C32D0000}"/>
    <cellStyle name="Normal 113 3 2 2" xfId="11716" xr:uid="{00000000-0005-0000-0000-0000C42D0000}"/>
    <cellStyle name="Normal 113 3 3" xfId="11717" xr:uid="{00000000-0005-0000-0000-0000C52D0000}"/>
    <cellStyle name="Normal 113 3 3 2" xfId="11718" xr:uid="{00000000-0005-0000-0000-0000C62D0000}"/>
    <cellStyle name="Normal 113 3 3 2 2" xfId="11719" xr:uid="{00000000-0005-0000-0000-0000C72D0000}"/>
    <cellStyle name="Normal 113 3 3 3" xfId="11720" xr:uid="{00000000-0005-0000-0000-0000C82D0000}"/>
    <cellStyle name="Normal 113 3 4" xfId="11721" xr:uid="{00000000-0005-0000-0000-0000C92D0000}"/>
    <cellStyle name="Normal 113 4" xfId="11722" xr:uid="{00000000-0005-0000-0000-0000CA2D0000}"/>
    <cellStyle name="Normal 113 4 2" xfId="11723" xr:uid="{00000000-0005-0000-0000-0000CB2D0000}"/>
    <cellStyle name="Normal 113 4 2 2" xfId="11724" xr:uid="{00000000-0005-0000-0000-0000CC2D0000}"/>
    <cellStyle name="Normal 113 4 3" xfId="11725" xr:uid="{00000000-0005-0000-0000-0000CD2D0000}"/>
    <cellStyle name="Normal 113 5" xfId="11726" xr:uid="{00000000-0005-0000-0000-0000CE2D0000}"/>
    <cellStyle name="Normal 114" xfId="11727" xr:uid="{00000000-0005-0000-0000-0000CF2D0000}"/>
    <cellStyle name="Normal 114 2" xfId="11728" xr:uid="{00000000-0005-0000-0000-0000D02D0000}"/>
    <cellStyle name="Normal 114 2 2" xfId="11729" xr:uid="{00000000-0005-0000-0000-0000D12D0000}"/>
    <cellStyle name="Normal 114 2 2 2" xfId="11730" xr:uid="{00000000-0005-0000-0000-0000D22D0000}"/>
    <cellStyle name="Normal 114 2 3" xfId="11731" xr:uid="{00000000-0005-0000-0000-0000D32D0000}"/>
    <cellStyle name="Normal 114 3" xfId="11732" xr:uid="{00000000-0005-0000-0000-0000D42D0000}"/>
    <cellStyle name="Normal 114 3 2" xfId="11733" xr:uid="{00000000-0005-0000-0000-0000D52D0000}"/>
    <cellStyle name="Normal 114 3 2 2" xfId="11734" xr:uid="{00000000-0005-0000-0000-0000D62D0000}"/>
    <cellStyle name="Normal 114 3 3" xfId="11735" xr:uid="{00000000-0005-0000-0000-0000D72D0000}"/>
    <cellStyle name="Normal 114 3 3 2" xfId="11736" xr:uid="{00000000-0005-0000-0000-0000D82D0000}"/>
    <cellStyle name="Normal 114 3 3 2 2" xfId="11737" xr:uid="{00000000-0005-0000-0000-0000D92D0000}"/>
    <cellStyle name="Normal 114 3 3 3" xfId="11738" xr:uid="{00000000-0005-0000-0000-0000DA2D0000}"/>
    <cellStyle name="Normal 114 3 4" xfId="11739" xr:uid="{00000000-0005-0000-0000-0000DB2D0000}"/>
    <cellStyle name="Normal 114 4" xfId="11740" xr:uid="{00000000-0005-0000-0000-0000DC2D0000}"/>
    <cellStyle name="Normal 114 4 2" xfId="11741" xr:uid="{00000000-0005-0000-0000-0000DD2D0000}"/>
    <cellStyle name="Normal 114 4 2 2" xfId="11742" xr:uid="{00000000-0005-0000-0000-0000DE2D0000}"/>
    <cellStyle name="Normal 114 4 3" xfId="11743" xr:uid="{00000000-0005-0000-0000-0000DF2D0000}"/>
    <cellStyle name="Normal 114 5" xfId="11744" xr:uid="{00000000-0005-0000-0000-0000E02D0000}"/>
    <cellStyle name="Normal 115" xfId="11745" xr:uid="{00000000-0005-0000-0000-0000E12D0000}"/>
    <cellStyle name="Normal 115 2" xfId="11746" xr:uid="{00000000-0005-0000-0000-0000E22D0000}"/>
    <cellStyle name="Normal 115 2 2" xfId="11747" xr:uid="{00000000-0005-0000-0000-0000E32D0000}"/>
    <cellStyle name="Normal 115 2 2 2" xfId="11748" xr:uid="{00000000-0005-0000-0000-0000E42D0000}"/>
    <cellStyle name="Normal 115 2 3" xfId="11749" xr:uid="{00000000-0005-0000-0000-0000E52D0000}"/>
    <cellStyle name="Normal 115 3" xfId="11750" xr:uid="{00000000-0005-0000-0000-0000E62D0000}"/>
    <cellStyle name="Normal 115 3 2" xfId="11751" xr:uid="{00000000-0005-0000-0000-0000E72D0000}"/>
    <cellStyle name="Normal 115 3 2 2" xfId="11752" xr:uid="{00000000-0005-0000-0000-0000E82D0000}"/>
    <cellStyle name="Normal 115 3 3" xfId="11753" xr:uid="{00000000-0005-0000-0000-0000E92D0000}"/>
    <cellStyle name="Normal 115 3 3 2" xfId="11754" xr:uid="{00000000-0005-0000-0000-0000EA2D0000}"/>
    <cellStyle name="Normal 115 3 3 2 2" xfId="11755" xr:uid="{00000000-0005-0000-0000-0000EB2D0000}"/>
    <cellStyle name="Normal 115 3 3 3" xfId="11756" xr:uid="{00000000-0005-0000-0000-0000EC2D0000}"/>
    <cellStyle name="Normal 115 3 4" xfId="11757" xr:uid="{00000000-0005-0000-0000-0000ED2D0000}"/>
    <cellStyle name="Normal 115 4" xfId="11758" xr:uid="{00000000-0005-0000-0000-0000EE2D0000}"/>
    <cellStyle name="Normal 115 4 2" xfId="11759" xr:uid="{00000000-0005-0000-0000-0000EF2D0000}"/>
    <cellStyle name="Normal 115 4 2 2" xfId="11760" xr:uid="{00000000-0005-0000-0000-0000F02D0000}"/>
    <cellStyle name="Normal 115 4 3" xfId="11761" xr:uid="{00000000-0005-0000-0000-0000F12D0000}"/>
    <cellStyle name="Normal 115 5" xfId="11762" xr:uid="{00000000-0005-0000-0000-0000F22D0000}"/>
    <cellStyle name="Normal 116" xfId="11763" xr:uid="{00000000-0005-0000-0000-0000F32D0000}"/>
    <cellStyle name="Normal 116 2" xfId="11764" xr:uid="{00000000-0005-0000-0000-0000F42D0000}"/>
    <cellStyle name="Normal 116 2 2" xfId="11765" xr:uid="{00000000-0005-0000-0000-0000F52D0000}"/>
    <cellStyle name="Normal 116 2 2 2" xfId="11766" xr:uid="{00000000-0005-0000-0000-0000F62D0000}"/>
    <cellStyle name="Normal 116 2 3" xfId="11767" xr:uid="{00000000-0005-0000-0000-0000F72D0000}"/>
    <cellStyle name="Normal 116 3" xfId="11768" xr:uid="{00000000-0005-0000-0000-0000F82D0000}"/>
    <cellStyle name="Normal 116 3 2" xfId="11769" xr:uid="{00000000-0005-0000-0000-0000F92D0000}"/>
    <cellStyle name="Normal 116 3 2 2" xfId="11770" xr:uid="{00000000-0005-0000-0000-0000FA2D0000}"/>
    <cellStyle name="Normal 116 3 3" xfId="11771" xr:uid="{00000000-0005-0000-0000-0000FB2D0000}"/>
    <cellStyle name="Normal 116 3 3 2" xfId="11772" xr:uid="{00000000-0005-0000-0000-0000FC2D0000}"/>
    <cellStyle name="Normal 116 3 3 2 2" xfId="11773" xr:uid="{00000000-0005-0000-0000-0000FD2D0000}"/>
    <cellStyle name="Normal 116 3 3 3" xfId="11774" xr:uid="{00000000-0005-0000-0000-0000FE2D0000}"/>
    <cellStyle name="Normal 116 3 4" xfId="11775" xr:uid="{00000000-0005-0000-0000-0000FF2D0000}"/>
    <cellStyle name="Normal 116 4" xfId="11776" xr:uid="{00000000-0005-0000-0000-0000002E0000}"/>
    <cellStyle name="Normal 116 4 2" xfId="11777" xr:uid="{00000000-0005-0000-0000-0000012E0000}"/>
    <cellStyle name="Normal 116 4 2 2" xfId="11778" xr:uid="{00000000-0005-0000-0000-0000022E0000}"/>
    <cellStyle name="Normal 116 4 3" xfId="11779" xr:uid="{00000000-0005-0000-0000-0000032E0000}"/>
    <cellStyle name="Normal 116 5" xfId="11780" xr:uid="{00000000-0005-0000-0000-0000042E0000}"/>
    <cellStyle name="Normal 117" xfId="11781" xr:uid="{00000000-0005-0000-0000-0000052E0000}"/>
    <cellStyle name="Normal 117 2" xfId="11782" xr:uid="{00000000-0005-0000-0000-0000062E0000}"/>
    <cellStyle name="Normal 117 2 2" xfId="11783" xr:uid="{00000000-0005-0000-0000-0000072E0000}"/>
    <cellStyle name="Normal 117 2 2 2" xfId="11784" xr:uid="{00000000-0005-0000-0000-0000082E0000}"/>
    <cellStyle name="Normal 117 2 3" xfId="11785" xr:uid="{00000000-0005-0000-0000-0000092E0000}"/>
    <cellStyle name="Normal 117 3" xfId="11786" xr:uid="{00000000-0005-0000-0000-00000A2E0000}"/>
    <cellStyle name="Normal 117 3 2" xfId="11787" xr:uid="{00000000-0005-0000-0000-00000B2E0000}"/>
    <cellStyle name="Normal 117 3 2 2" xfId="11788" xr:uid="{00000000-0005-0000-0000-00000C2E0000}"/>
    <cellStyle name="Normal 117 3 3" xfId="11789" xr:uid="{00000000-0005-0000-0000-00000D2E0000}"/>
    <cellStyle name="Normal 117 3 3 2" xfId="11790" xr:uid="{00000000-0005-0000-0000-00000E2E0000}"/>
    <cellStyle name="Normal 117 3 3 2 2" xfId="11791" xr:uid="{00000000-0005-0000-0000-00000F2E0000}"/>
    <cellStyle name="Normal 117 3 3 3" xfId="11792" xr:uid="{00000000-0005-0000-0000-0000102E0000}"/>
    <cellStyle name="Normal 117 3 4" xfId="11793" xr:uid="{00000000-0005-0000-0000-0000112E0000}"/>
    <cellStyle name="Normal 117 4" xfId="11794" xr:uid="{00000000-0005-0000-0000-0000122E0000}"/>
    <cellStyle name="Normal 117 4 2" xfId="11795" xr:uid="{00000000-0005-0000-0000-0000132E0000}"/>
    <cellStyle name="Normal 117 4 2 2" xfId="11796" xr:uid="{00000000-0005-0000-0000-0000142E0000}"/>
    <cellStyle name="Normal 117 4 3" xfId="11797" xr:uid="{00000000-0005-0000-0000-0000152E0000}"/>
    <cellStyle name="Normal 117 5" xfId="11798" xr:uid="{00000000-0005-0000-0000-0000162E0000}"/>
    <cellStyle name="Normal 118" xfId="11799" xr:uid="{00000000-0005-0000-0000-0000172E0000}"/>
    <cellStyle name="Normal 118 2" xfId="11800" xr:uid="{00000000-0005-0000-0000-0000182E0000}"/>
    <cellStyle name="Normal 118 2 2" xfId="11801" xr:uid="{00000000-0005-0000-0000-0000192E0000}"/>
    <cellStyle name="Normal 118 2 2 2" xfId="11802" xr:uid="{00000000-0005-0000-0000-00001A2E0000}"/>
    <cellStyle name="Normal 118 2 3" xfId="11803" xr:uid="{00000000-0005-0000-0000-00001B2E0000}"/>
    <cellStyle name="Normal 118 3" xfId="11804" xr:uid="{00000000-0005-0000-0000-00001C2E0000}"/>
    <cellStyle name="Normal 118 3 2" xfId="11805" xr:uid="{00000000-0005-0000-0000-00001D2E0000}"/>
    <cellStyle name="Normal 118 3 2 2" xfId="11806" xr:uid="{00000000-0005-0000-0000-00001E2E0000}"/>
    <cellStyle name="Normal 118 3 3" xfId="11807" xr:uid="{00000000-0005-0000-0000-00001F2E0000}"/>
    <cellStyle name="Normal 118 3 3 2" xfId="11808" xr:uid="{00000000-0005-0000-0000-0000202E0000}"/>
    <cellStyle name="Normal 118 3 3 2 2" xfId="11809" xr:uid="{00000000-0005-0000-0000-0000212E0000}"/>
    <cellStyle name="Normal 118 3 3 3" xfId="11810" xr:uid="{00000000-0005-0000-0000-0000222E0000}"/>
    <cellStyle name="Normal 118 3 4" xfId="11811" xr:uid="{00000000-0005-0000-0000-0000232E0000}"/>
    <cellStyle name="Normal 118 4" xfId="11812" xr:uid="{00000000-0005-0000-0000-0000242E0000}"/>
    <cellStyle name="Normal 118 4 2" xfId="11813" xr:uid="{00000000-0005-0000-0000-0000252E0000}"/>
    <cellStyle name="Normal 118 4 2 2" xfId="11814" xr:uid="{00000000-0005-0000-0000-0000262E0000}"/>
    <cellStyle name="Normal 118 4 3" xfId="11815" xr:uid="{00000000-0005-0000-0000-0000272E0000}"/>
    <cellStyle name="Normal 118 5" xfId="11816" xr:uid="{00000000-0005-0000-0000-0000282E0000}"/>
    <cellStyle name="Normal 119" xfId="11817" xr:uid="{00000000-0005-0000-0000-0000292E0000}"/>
    <cellStyle name="Normal 119 2" xfId="11818" xr:uid="{00000000-0005-0000-0000-00002A2E0000}"/>
    <cellStyle name="Normal 119 2 2" xfId="11819" xr:uid="{00000000-0005-0000-0000-00002B2E0000}"/>
    <cellStyle name="Normal 119 2 2 2" xfId="11820" xr:uid="{00000000-0005-0000-0000-00002C2E0000}"/>
    <cellStyle name="Normal 119 2 2 2 2" xfId="11821" xr:uid="{00000000-0005-0000-0000-00002D2E0000}"/>
    <cellStyle name="Normal 119 2 2 3" xfId="11822" xr:uid="{00000000-0005-0000-0000-00002E2E0000}"/>
    <cellStyle name="Normal 119 2 3" xfId="11823" xr:uid="{00000000-0005-0000-0000-00002F2E0000}"/>
    <cellStyle name="Normal 119 2 3 2" xfId="11824" xr:uid="{00000000-0005-0000-0000-0000302E0000}"/>
    <cellStyle name="Normal 119 2 3 2 2" xfId="11825" xr:uid="{00000000-0005-0000-0000-0000312E0000}"/>
    <cellStyle name="Normal 119 2 3 3" xfId="11826" xr:uid="{00000000-0005-0000-0000-0000322E0000}"/>
    <cellStyle name="Normal 119 2 3 3 2" xfId="11827" xr:uid="{00000000-0005-0000-0000-0000332E0000}"/>
    <cellStyle name="Normal 119 2 3 3 2 2" xfId="11828" xr:uid="{00000000-0005-0000-0000-0000342E0000}"/>
    <cellStyle name="Normal 119 2 3 3 3" xfId="11829" xr:uid="{00000000-0005-0000-0000-0000352E0000}"/>
    <cellStyle name="Normal 119 2 3 4" xfId="11830" xr:uid="{00000000-0005-0000-0000-0000362E0000}"/>
    <cellStyle name="Normal 119 2 4" xfId="11831" xr:uid="{00000000-0005-0000-0000-0000372E0000}"/>
    <cellStyle name="Normal 119 2 4 2" xfId="11832" xr:uid="{00000000-0005-0000-0000-0000382E0000}"/>
    <cellStyle name="Normal 119 2 4 2 2" xfId="11833" xr:uid="{00000000-0005-0000-0000-0000392E0000}"/>
    <cellStyle name="Normal 119 2 4 3" xfId="11834" xr:uid="{00000000-0005-0000-0000-00003A2E0000}"/>
    <cellStyle name="Normal 119 2 5" xfId="11835" xr:uid="{00000000-0005-0000-0000-00003B2E0000}"/>
    <cellStyle name="Normal 119 3" xfId="11836" xr:uid="{00000000-0005-0000-0000-00003C2E0000}"/>
    <cellStyle name="Normal 119 3 2" xfId="11837" xr:uid="{00000000-0005-0000-0000-00003D2E0000}"/>
    <cellStyle name="Normal 119 3 2 2" xfId="11838" xr:uid="{00000000-0005-0000-0000-00003E2E0000}"/>
    <cellStyle name="Normal 119 3 3" xfId="11839" xr:uid="{00000000-0005-0000-0000-00003F2E0000}"/>
    <cellStyle name="Normal 119 4" xfId="11840" xr:uid="{00000000-0005-0000-0000-0000402E0000}"/>
    <cellStyle name="Normal 119 4 2" xfId="11841" xr:uid="{00000000-0005-0000-0000-0000412E0000}"/>
    <cellStyle name="Normal 119 4 2 2" xfId="11842" xr:uid="{00000000-0005-0000-0000-0000422E0000}"/>
    <cellStyle name="Normal 119 4 3" xfId="11843" xr:uid="{00000000-0005-0000-0000-0000432E0000}"/>
    <cellStyle name="Normal 119 4 3 2" xfId="11844" xr:uid="{00000000-0005-0000-0000-0000442E0000}"/>
    <cellStyle name="Normal 119 4 3 2 2" xfId="11845" xr:uid="{00000000-0005-0000-0000-0000452E0000}"/>
    <cellStyle name="Normal 119 4 3 3" xfId="11846" xr:uid="{00000000-0005-0000-0000-0000462E0000}"/>
    <cellStyle name="Normal 119 4 4" xfId="11847" xr:uid="{00000000-0005-0000-0000-0000472E0000}"/>
    <cellStyle name="Normal 119 5" xfId="11848" xr:uid="{00000000-0005-0000-0000-0000482E0000}"/>
    <cellStyle name="Normal 119 5 2" xfId="11849" xr:uid="{00000000-0005-0000-0000-0000492E0000}"/>
    <cellStyle name="Normal 119 5 2 2" xfId="11850" xr:uid="{00000000-0005-0000-0000-00004A2E0000}"/>
    <cellStyle name="Normal 119 5 3" xfId="11851" xr:uid="{00000000-0005-0000-0000-00004B2E0000}"/>
    <cellStyle name="Normal 119 6" xfId="11852" xr:uid="{00000000-0005-0000-0000-00004C2E0000}"/>
    <cellStyle name="Normal 12" xfId="60" xr:uid="{00000000-0005-0000-0000-00003C000000}"/>
    <cellStyle name="Normal 12 2" xfId="11853" xr:uid="{00000000-0005-0000-0000-00004D2E0000}"/>
    <cellStyle name="Normal 12 2 2" xfId="11854" xr:uid="{00000000-0005-0000-0000-00004E2E0000}"/>
    <cellStyle name="Normal 12 2 2 2" xfId="11855" xr:uid="{00000000-0005-0000-0000-00004F2E0000}"/>
    <cellStyle name="Normal 12 2 3" xfId="11856" xr:uid="{00000000-0005-0000-0000-0000502E0000}"/>
    <cellStyle name="Normal 12 2 3 2" xfId="11857" xr:uid="{00000000-0005-0000-0000-0000512E0000}"/>
    <cellStyle name="Normal 12 2 3 2 2" xfId="11858" xr:uid="{00000000-0005-0000-0000-0000522E0000}"/>
    <cellStyle name="Normal 12 2 3 3" xfId="11859" xr:uid="{00000000-0005-0000-0000-0000532E0000}"/>
    <cellStyle name="Normal 12 2 4" xfId="11860" xr:uid="{00000000-0005-0000-0000-0000542E0000}"/>
    <cellStyle name="Normal 12 3" xfId="11861" xr:uid="{00000000-0005-0000-0000-0000552E0000}"/>
    <cellStyle name="Normal 12 3 2" xfId="11862" xr:uid="{00000000-0005-0000-0000-0000562E0000}"/>
    <cellStyle name="Normal 12 3 2 2" xfId="11863" xr:uid="{00000000-0005-0000-0000-0000572E0000}"/>
    <cellStyle name="Normal 12 3 2 2 2" xfId="11864" xr:uid="{00000000-0005-0000-0000-0000582E0000}"/>
    <cellStyle name="Normal 12 3 2 3" xfId="11865" xr:uid="{00000000-0005-0000-0000-0000592E0000}"/>
    <cellStyle name="Normal 12 3 3" xfId="11866" xr:uid="{00000000-0005-0000-0000-00005A2E0000}"/>
    <cellStyle name="Normal 12 3 3 2" xfId="11867" xr:uid="{00000000-0005-0000-0000-00005B2E0000}"/>
    <cellStyle name="Normal 12 3 3 2 2" xfId="11868" xr:uid="{00000000-0005-0000-0000-00005C2E0000}"/>
    <cellStyle name="Normal 12 3 3 3" xfId="11869" xr:uid="{00000000-0005-0000-0000-00005D2E0000}"/>
    <cellStyle name="Normal 12 3 4" xfId="11870" xr:uid="{00000000-0005-0000-0000-00005E2E0000}"/>
    <cellStyle name="Normal 12 4" xfId="11871" xr:uid="{00000000-0005-0000-0000-00005F2E0000}"/>
    <cellStyle name="Normal 12 4 2" xfId="11872" xr:uid="{00000000-0005-0000-0000-0000602E0000}"/>
    <cellStyle name="Normal 12 5" xfId="11873" xr:uid="{00000000-0005-0000-0000-0000612E0000}"/>
    <cellStyle name="Normal 12 5 2" xfId="11874" xr:uid="{00000000-0005-0000-0000-0000622E0000}"/>
    <cellStyle name="Normal 12 5 2 2" xfId="11875" xr:uid="{00000000-0005-0000-0000-0000632E0000}"/>
    <cellStyle name="Normal 12 5 3" xfId="11876" xr:uid="{00000000-0005-0000-0000-0000642E0000}"/>
    <cellStyle name="Normal 12 6" xfId="11877" xr:uid="{00000000-0005-0000-0000-0000652E0000}"/>
    <cellStyle name="Normal 12 6 2" xfId="11878" xr:uid="{00000000-0005-0000-0000-0000662E0000}"/>
    <cellStyle name="Normal 12 6 2 2" xfId="11879" xr:uid="{00000000-0005-0000-0000-0000672E0000}"/>
    <cellStyle name="Normal 12 6 3" xfId="11880" xr:uid="{00000000-0005-0000-0000-0000682E0000}"/>
    <cellStyle name="Normal 12 7" xfId="11881" xr:uid="{00000000-0005-0000-0000-0000692E0000}"/>
    <cellStyle name="Normal 12 7 2" xfId="11882" xr:uid="{00000000-0005-0000-0000-00006A2E0000}"/>
    <cellStyle name="Normal 12 8" xfId="11883" xr:uid="{00000000-0005-0000-0000-00006B2E0000}"/>
    <cellStyle name="Normal 12 9" xfId="11884" xr:uid="{00000000-0005-0000-0000-00006C2E0000}"/>
    <cellStyle name="Normal 120" xfId="11885" xr:uid="{00000000-0005-0000-0000-00006D2E0000}"/>
    <cellStyle name="Normal 120 2" xfId="11886" xr:uid="{00000000-0005-0000-0000-00006E2E0000}"/>
    <cellStyle name="Normal 120 2 2" xfId="11887" xr:uid="{00000000-0005-0000-0000-00006F2E0000}"/>
    <cellStyle name="Normal 120 2 2 2" xfId="11888" xr:uid="{00000000-0005-0000-0000-0000702E0000}"/>
    <cellStyle name="Normal 120 2 2 2 2" xfId="11889" xr:uid="{00000000-0005-0000-0000-0000712E0000}"/>
    <cellStyle name="Normal 120 2 2 3" xfId="11890" xr:uid="{00000000-0005-0000-0000-0000722E0000}"/>
    <cellStyle name="Normal 120 2 3" xfId="11891" xr:uid="{00000000-0005-0000-0000-0000732E0000}"/>
    <cellStyle name="Normal 120 2 3 2" xfId="11892" xr:uid="{00000000-0005-0000-0000-0000742E0000}"/>
    <cellStyle name="Normal 120 2 3 2 2" xfId="11893" xr:uid="{00000000-0005-0000-0000-0000752E0000}"/>
    <cellStyle name="Normal 120 2 3 3" xfId="11894" xr:uid="{00000000-0005-0000-0000-0000762E0000}"/>
    <cellStyle name="Normal 120 2 3 3 2" xfId="11895" xr:uid="{00000000-0005-0000-0000-0000772E0000}"/>
    <cellStyle name="Normal 120 2 3 3 2 2" xfId="11896" xr:uid="{00000000-0005-0000-0000-0000782E0000}"/>
    <cellStyle name="Normal 120 2 3 3 3" xfId="11897" xr:uid="{00000000-0005-0000-0000-0000792E0000}"/>
    <cellStyle name="Normal 120 2 3 4" xfId="11898" xr:uid="{00000000-0005-0000-0000-00007A2E0000}"/>
    <cellStyle name="Normal 120 2 4" xfId="11899" xr:uid="{00000000-0005-0000-0000-00007B2E0000}"/>
    <cellStyle name="Normal 120 2 4 2" xfId="11900" xr:uid="{00000000-0005-0000-0000-00007C2E0000}"/>
    <cellStyle name="Normal 120 2 4 2 2" xfId="11901" xr:uid="{00000000-0005-0000-0000-00007D2E0000}"/>
    <cellStyle name="Normal 120 2 4 3" xfId="11902" xr:uid="{00000000-0005-0000-0000-00007E2E0000}"/>
    <cellStyle name="Normal 120 2 5" xfId="11903" xr:uid="{00000000-0005-0000-0000-00007F2E0000}"/>
    <cellStyle name="Normal 120 3" xfId="11904" xr:uid="{00000000-0005-0000-0000-0000802E0000}"/>
    <cellStyle name="Normal 120 3 2" xfId="11905" xr:uid="{00000000-0005-0000-0000-0000812E0000}"/>
    <cellStyle name="Normal 120 3 2 2" xfId="11906" xr:uid="{00000000-0005-0000-0000-0000822E0000}"/>
    <cellStyle name="Normal 120 3 3" xfId="11907" xr:uid="{00000000-0005-0000-0000-0000832E0000}"/>
    <cellStyle name="Normal 120 4" xfId="11908" xr:uid="{00000000-0005-0000-0000-0000842E0000}"/>
    <cellStyle name="Normal 120 4 2" xfId="11909" xr:uid="{00000000-0005-0000-0000-0000852E0000}"/>
    <cellStyle name="Normal 120 4 2 2" xfId="11910" xr:uid="{00000000-0005-0000-0000-0000862E0000}"/>
    <cellStyle name="Normal 120 4 3" xfId="11911" xr:uid="{00000000-0005-0000-0000-0000872E0000}"/>
    <cellStyle name="Normal 120 4 3 2" xfId="11912" xr:uid="{00000000-0005-0000-0000-0000882E0000}"/>
    <cellStyle name="Normal 120 4 3 2 2" xfId="11913" xr:uid="{00000000-0005-0000-0000-0000892E0000}"/>
    <cellStyle name="Normal 120 4 3 3" xfId="11914" xr:uid="{00000000-0005-0000-0000-00008A2E0000}"/>
    <cellStyle name="Normal 120 4 4" xfId="11915" xr:uid="{00000000-0005-0000-0000-00008B2E0000}"/>
    <cellStyle name="Normal 120 5" xfId="11916" xr:uid="{00000000-0005-0000-0000-00008C2E0000}"/>
    <cellStyle name="Normal 120 5 2" xfId="11917" xr:uid="{00000000-0005-0000-0000-00008D2E0000}"/>
    <cellStyle name="Normal 120 5 2 2" xfId="11918" xr:uid="{00000000-0005-0000-0000-00008E2E0000}"/>
    <cellStyle name="Normal 120 5 3" xfId="11919" xr:uid="{00000000-0005-0000-0000-00008F2E0000}"/>
    <cellStyle name="Normal 120 6" xfId="11920" xr:uid="{00000000-0005-0000-0000-0000902E0000}"/>
    <cellStyle name="Normal 121" xfId="11921" xr:uid="{00000000-0005-0000-0000-0000912E0000}"/>
    <cellStyle name="Normal 121 2" xfId="11922" xr:uid="{00000000-0005-0000-0000-0000922E0000}"/>
    <cellStyle name="Normal 121 2 2" xfId="11923" xr:uid="{00000000-0005-0000-0000-0000932E0000}"/>
    <cellStyle name="Normal 121 2 2 2" xfId="11924" xr:uid="{00000000-0005-0000-0000-0000942E0000}"/>
    <cellStyle name="Normal 121 2 2 2 2" xfId="11925" xr:uid="{00000000-0005-0000-0000-0000952E0000}"/>
    <cellStyle name="Normal 121 2 2 3" xfId="11926" xr:uid="{00000000-0005-0000-0000-0000962E0000}"/>
    <cellStyle name="Normal 121 2 3" xfId="11927" xr:uid="{00000000-0005-0000-0000-0000972E0000}"/>
    <cellStyle name="Normal 121 2 3 2" xfId="11928" xr:uid="{00000000-0005-0000-0000-0000982E0000}"/>
    <cellStyle name="Normal 121 2 3 2 2" xfId="11929" xr:uid="{00000000-0005-0000-0000-0000992E0000}"/>
    <cellStyle name="Normal 121 2 3 3" xfId="11930" xr:uid="{00000000-0005-0000-0000-00009A2E0000}"/>
    <cellStyle name="Normal 121 2 3 3 2" xfId="11931" xr:uid="{00000000-0005-0000-0000-00009B2E0000}"/>
    <cellStyle name="Normal 121 2 3 3 2 2" xfId="11932" xr:uid="{00000000-0005-0000-0000-00009C2E0000}"/>
    <cellStyle name="Normal 121 2 3 3 3" xfId="11933" xr:uid="{00000000-0005-0000-0000-00009D2E0000}"/>
    <cellStyle name="Normal 121 2 3 4" xfId="11934" xr:uid="{00000000-0005-0000-0000-00009E2E0000}"/>
    <cellStyle name="Normal 121 2 4" xfId="11935" xr:uid="{00000000-0005-0000-0000-00009F2E0000}"/>
    <cellStyle name="Normal 121 2 4 2" xfId="11936" xr:uid="{00000000-0005-0000-0000-0000A02E0000}"/>
    <cellStyle name="Normal 121 2 4 2 2" xfId="11937" xr:uid="{00000000-0005-0000-0000-0000A12E0000}"/>
    <cellStyle name="Normal 121 2 4 3" xfId="11938" xr:uid="{00000000-0005-0000-0000-0000A22E0000}"/>
    <cellStyle name="Normal 121 2 5" xfId="11939" xr:uid="{00000000-0005-0000-0000-0000A32E0000}"/>
    <cellStyle name="Normal 121 3" xfId="11940" xr:uid="{00000000-0005-0000-0000-0000A42E0000}"/>
    <cellStyle name="Normal 121 3 2" xfId="11941" xr:uid="{00000000-0005-0000-0000-0000A52E0000}"/>
    <cellStyle name="Normal 121 3 2 2" xfId="11942" xr:uid="{00000000-0005-0000-0000-0000A62E0000}"/>
    <cellStyle name="Normal 121 3 3" xfId="11943" xr:uid="{00000000-0005-0000-0000-0000A72E0000}"/>
    <cellStyle name="Normal 121 4" xfId="11944" xr:uid="{00000000-0005-0000-0000-0000A82E0000}"/>
    <cellStyle name="Normal 121 4 2" xfId="11945" xr:uid="{00000000-0005-0000-0000-0000A92E0000}"/>
    <cellStyle name="Normal 121 4 2 2" xfId="11946" xr:uid="{00000000-0005-0000-0000-0000AA2E0000}"/>
    <cellStyle name="Normal 121 4 3" xfId="11947" xr:uid="{00000000-0005-0000-0000-0000AB2E0000}"/>
    <cellStyle name="Normal 121 4 3 2" xfId="11948" xr:uid="{00000000-0005-0000-0000-0000AC2E0000}"/>
    <cellStyle name="Normal 121 4 3 2 2" xfId="11949" xr:uid="{00000000-0005-0000-0000-0000AD2E0000}"/>
    <cellStyle name="Normal 121 4 3 3" xfId="11950" xr:uid="{00000000-0005-0000-0000-0000AE2E0000}"/>
    <cellStyle name="Normal 121 4 4" xfId="11951" xr:uid="{00000000-0005-0000-0000-0000AF2E0000}"/>
    <cellStyle name="Normal 121 5" xfId="11952" xr:uid="{00000000-0005-0000-0000-0000B02E0000}"/>
    <cellStyle name="Normal 121 5 2" xfId="11953" xr:uid="{00000000-0005-0000-0000-0000B12E0000}"/>
    <cellStyle name="Normal 121 5 2 2" xfId="11954" xr:uid="{00000000-0005-0000-0000-0000B22E0000}"/>
    <cellStyle name="Normal 121 5 3" xfId="11955" xr:uid="{00000000-0005-0000-0000-0000B32E0000}"/>
    <cellStyle name="Normal 121 6" xfId="11956" xr:uid="{00000000-0005-0000-0000-0000B42E0000}"/>
    <cellStyle name="Normal 122" xfId="11957" xr:uid="{00000000-0005-0000-0000-0000B52E0000}"/>
    <cellStyle name="Normal 122 2" xfId="11958" xr:uid="{00000000-0005-0000-0000-0000B62E0000}"/>
    <cellStyle name="Normal 122 2 2" xfId="11959" xr:uid="{00000000-0005-0000-0000-0000B72E0000}"/>
    <cellStyle name="Normal 122 2 2 2" xfId="11960" xr:uid="{00000000-0005-0000-0000-0000B82E0000}"/>
    <cellStyle name="Normal 122 2 3" xfId="11961" xr:uid="{00000000-0005-0000-0000-0000B92E0000}"/>
    <cellStyle name="Normal 122 3" xfId="11962" xr:uid="{00000000-0005-0000-0000-0000BA2E0000}"/>
    <cellStyle name="Normal 122 3 2" xfId="11963" xr:uid="{00000000-0005-0000-0000-0000BB2E0000}"/>
    <cellStyle name="Normal 122 3 2 2" xfId="11964" xr:uid="{00000000-0005-0000-0000-0000BC2E0000}"/>
    <cellStyle name="Normal 122 3 3" xfId="11965" xr:uid="{00000000-0005-0000-0000-0000BD2E0000}"/>
    <cellStyle name="Normal 122 3 3 2" xfId="11966" xr:uid="{00000000-0005-0000-0000-0000BE2E0000}"/>
    <cellStyle name="Normal 122 3 3 2 2" xfId="11967" xr:uid="{00000000-0005-0000-0000-0000BF2E0000}"/>
    <cellStyle name="Normal 122 3 3 3" xfId="11968" xr:uid="{00000000-0005-0000-0000-0000C02E0000}"/>
    <cellStyle name="Normal 122 3 4" xfId="11969" xr:uid="{00000000-0005-0000-0000-0000C12E0000}"/>
    <cellStyle name="Normal 122 4" xfId="11970" xr:uid="{00000000-0005-0000-0000-0000C22E0000}"/>
    <cellStyle name="Normal 122 4 2" xfId="11971" xr:uid="{00000000-0005-0000-0000-0000C32E0000}"/>
    <cellStyle name="Normal 122 4 2 2" xfId="11972" xr:uid="{00000000-0005-0000-0000-0000C42E0000}"/>
    <cellStyle name="Normal 122 4 3" xfId="11973" xr:uid="{00000000-0005-0000-0000-0000C52E0000}"/>
    <cellStyle name="Normal 122 5" xfId="11974" xr:uid="{00000000-0005-0000-0000-0000C62E0000}"/>
    <cellStyle name="Normal 123" xfId="11975" xr:uid="{00000000-0005-0000-0000-0000C72E0000}"/>
    <cellStyle name="Normal 123 2" xfId="11976" xr:uid="{00000000-0005-0000-0000-0000C82E0000}"/>
    <cellStyle name="Normal 123 2 2" xfId="11977" xr:uid="{00000000-0005-0000-0000-0000C92E0000}"/>
    <cellStyle name="Normal 123 2 2 2" xfId="11978" xr:uid="{00000000-0005-0000-0000-0000CA2E0000}"/>
    <cellStyle name="Normal 123 2 3" xfId="11979" xr:uid="{00000000-0005-0000-0000-0000CB2E0000}"/>
    <cellStyle name="Normal 123 3" xfId="11980" xr:uid="{00000000-0005-0000-0000-0000CC2E0000}"/>
    <cellStyle name="Normal 123 3 2" xfId="11981" xr:uid="{00000000-0005-0000-0000-0000CD2E0000}"/>
    <cellStyle name="Normal 123 3 2 2" xfId="11982" xr:uid="{00000000-0005-0000-0000-0000CE2E0000}"/>
    <cellStyle name="Normal 123 3 3" xfId="11983" xr:uid="{00000000-0005-0000-0000-0000CF2E0000}"/>
    <cellStyle name="Normal 123 3 3 2" xfId="11984" xr:uid="{00000000-0005-0000-0000-0000D02E0000}"/>
    <cellStyle name="Normal 123 3 3 2 2" xfId="11985" xr:uid="{00000000-0005-0000-0000-0000D12E0000}"/>
    <cellStyle name="Normal 123 3 3 3" xfId="11986" xr:uid="{00000000-0005-0000-0000-0000D22E0000}"/>
    <cellStyle name="Normal 123 3 4" xfId="11987" xr:uid="{00000000-0005-0000-0000-0000D32E0000}"/>
    <cellStyle name="Normal 123 4" xfId="11988" xr:uid="{00000000-0005-0000-0000-0000D42E0000}"/>
    <cellStyle name="Normal 123 4 2" xfId="11989" xr:uid="{00000000-0005-0000-0000-0000D52E0000}"/>
    <cellStyle name="Normal 123 4 2 2" xfId="11990" xr:uid="{00000000-0005-0000-0000-0000D62E0000}"/>
    <cellStyle name="Normal 123 4 3" xfId="11991" xr:uid="{00000000-0005-0000-0000-0000D72E0000}"/>
    <cellStyle name="Normal 123 5" xfId="11992" xr:uid="{00000000-0005-0000-0000-0000D82E0000}"/>
    <cellStyle name="Normal 124" xfId="11993" xr:uid="{00000000-0005-0000-0000-0000D92E0000}"/>
    <cellStyle name="Normal 124 2" xfId="11994" xr:uid="{00000000-0005-0000-0000-0000DA2E0000}"/>
    <cellStyle name="Normal 124 2 2" xfId="11995" xr:uid="{00000000-0005-0000-0000-0000DB2E0000}"/>
    <cellStyle name="Normal 124 2 2 2" xfId="11996" xr:uid="{00000000-0005-0000-0000-0000DC2E0000}"/>
    <cellStyle name="Normal 124 2 3" xfId="11997" xr:uid="{00000000-0005-0000-0000-0000DD2E0000}"/>
    <cellStyle name="Normal 124 3" xfId="11998" xr:uid="{00000000-0005-0000-0000-0000DE2E0000}"/>
    <cellStyle name="Normal 124 3 2" xfId="11999" xr:uid="{00000000-0005-0000-0000-0000DF2E0000}"/>
    <cellStyle name="Normal 124 3 2 2" xfId="12000" xr:uid="{00000000-0005-0000-0000-0000E02E0000}"/>
    <cellStyle name="Normal 124 3 3" xfId="12001" xr:uid="{00000000-0005-0000-0000-0000E12E0000}"/>
    <cellStyle name="Normal 124 3 3 2" xfId="12002" xr:uid="{00000000-0005-0000-0000-0000E22E0000}"/>
    <cellStyle name="Normal 124 3 3 2 2" xfId="12003" xr:uid="{00000000-0005-0000-0000-0000E32E0000}"/>
    <cellStyle name="Normal 124 3 3 3" xfId="12004" xr:uid="{00000000-0005-0000-0000-0000E42E0000}"/>
    <cellStyle name="Normal 124 3 4" xfId="12005" xr:uid="{00000000-0005-0000-0000-0000E52E0000}"/>
    <cellStyle name="Normal 124 4" xfId="12006" xr:uid="{00000000-0005-0000-0000-0000E62E0000}"/>
    <cellStyle name="Normal 124 4 2" xfId="12007" xr:uid="{00000000-0005-0000-0000-0000E72E0000}"/>
    <cellStyle name="Normal 124 4 2 2" xfId="12008" xr:uid="{00000000-0005-0000-0000-0000E82E0000}"/>
    <cellStyle name="Normal 124 4 3" xfId="12009" xr:uid="{00000000-0005-0000-0000-0000E92E0000}"/>
    <cellStyle name="Normal 124 5" xfId="12010" xr:uid="{00000000-0005-0000-0000-0000EA2E0000}"/>
    <cellStyle name="Normal 125" xfId="12011" xr:uid="{00000000-0005-0000-0000-0000EB2E0000}"/>
    <cellStyle name="Normal 125 2" xfId="12012" xr:uid="{00000000-0005-0000-0000-0000EC2E0000}"/>
    <cellStyle name="Normal 125 2 2" xfId="12013" xr:uid="{00000000-0005-0000-0000-0000ED2E0000}"/>
    <cellStyle name="Normal 125 2 2 2" xfId="12014" xr:uid="{00000000-0005-0000-0000-0000EE2E0000}"/>
    <cellStyle name="Normal 125 2 3" xfId="12015" xr:uid="{00000000-0005-0000-0000-0000EF2E0000}"/>
    <cellStyle name="Normal 125 3" xfId="12016" xr:uid="{00000000-0005-0000-0000-0000F02E0000}"/>
    <cellStyle name="Normal 125 3 2" xfId="12017" xr:uid="{00000000-0005-0000-0000-0000F12E0000}"/>
    <cellStyle name="Normal 125 3 2 2" xfId="12018" xr:uid="{00000000-0005-0000-0000-0000F22E0000}"/>
    <cellStyle name="Normal 125 3 3" xfId="12019" xr:uid="{00000000-0005-0000-0000-0000F32E0000}"/>
    <cellStyle name="Normal 125 3 3 2" xfId="12020" xr:uid="{00000000-0005-0000-0000-0000F42E0000}"/>
    <cellStyle name="Normal 125 3 3 2 2" xfId="12021" xr:uid="{00000000-0005-0000-0000-0000F52E0000}"/>
    <cellStyle name="Normal 125 3 3 3" xfId="12022" xr:uid="{00000000-0005-0000-0000-0000F62E0000}"/>
    <cellStyle name="Normal 125 3 4" xfId="12023" xr:uid="{00000000-0005-0000-0000-0000F72E0000}"/>
    <cellStyle name="Normal 125 4" xfId="12024" xr:uid="{00000000-0005-0000-0000-0000F82E0000}"/>
    <cellStyle name="Normal 125 4 2" xfId="12025" xr:uid="{00000000-0005-0000-0000-0000F92E0000}"/>
    <cellStyle name="Normal 125 4 2 2" xfId="12026" xr:uid="{00000000-0005-0000-0000-0000FA2E0000}"/>
    <cellStyle name="Normal 125 4 3" xfId="12027" xr:uid="{00000000-0005-0000-0000-0000FB2E0000}"/>
    <cellStyle name="Normal 125 5" xfId="12028" xr:uid="{00000000-0005-0000-0000-0000FC2E0000}"/>
    <cellStyle name="Normal 126" xfId="12029" xr:uid="{00000000-0005-0000-0000-0000FD2E0000}"/>
    <cellStyle name="Normal 126 2" xfId="12030" xr:uid="{00000000-0005-0000-0000-0000FE2E0000}"/>
    <cellStyle name="Normal 126 2 2" xfId="12031" xr:uid="{00000000-0005-0000-0000-0000FF2E0000}"/>
    <cellStyle name="Normal 126 2 2 2" xfId="12032" xr:uid="{00000000-0005-0000-0000-0000002F0000}"/>
    <cellStyle name="Normal 126 2 3" xfId="12033" xr:uid="{00000000-0005-0000-0000-0000012F0000}"/>
    <cellStyle name="Normal 126 3" xfId="12034" xr:uid="{00000000-0005-0000-0000-0000022F0000}"/>
    <cellStyle name="Normal 126 3 2" xfId="12035" xr:uid="{00000000-0005-0000-0000-0000032F0000}"/>
    <cellStyle name="Normal 126 3 2 2" xfId="12036" xr:uid="{00000000-0005-0000-0000-0000042F0000}"/>
    <cellStyle name="Normal 126 3 3" xfId="12037" xr:uid="{00000000-0005-0000-0000-0000052F0000}"/>
    <cellStyle name="Normal 126 3 3 2" xfId="12038" xr:uid="{00000000-0005-0000-0000-0000062F0000}"/>
    <cellStyle name="Normal 126 3 3 2 2" xfId="12039" xr:uid="{00000000-0005-0000-0000-0000072F0000}"/>
    <cellStyle name="Normal 126 3 3 3" xfId="12040" xr:uid="{00000000-0005-0000-0000-0000082F0000}"/>
    <cellStyle name="Normal 126 3 4" xfId="12041" xr:uid="{00000000-0005-0000-0000-0000092F0000}"/>
    <cellStyle name="Normal 126 4" xfId="12042" xr:uid="{00000000-0005-0000-0000-00000A2F0000}"/>
    <cellStyle name="Normal 126 4 2" xfId="12043" xr:uid="{00000000-0005-0000-0000-00000B2F0000}"/>
    <cellStyle name="Normal 126 4 2 2" xfId="12044" xr:uid="{00000000-0005-0000-0000-00000C2F0000}"/>
    <cellStyle name="Normal 126 4 3" xfId="12045" xr:uid="{00000000-0005-0000-0000-00000D2F0000}"/>
    <cellStyle name="Normal 126 5" xfId="12046" xr:uid="{00000000-0005-0000-0000-00000E2F0000}"/>
    <cellStyle name="Normal 127" xfId="12047" xr:uid="{00000000-0005-0000-0000-00000F2F0000}"/>
    <cellStyle name="Normal 127 2" xfId="12048" xr:uid="{00000000-0005-0000-0000-0000102F0000}"/>
    <cellStyle name="Normal 127 2 2" xfId="12049" xr:uid="{00000000-0005-0000-0000-0000112F0000}"/>
    <cellStyle name="Normal 127 2 2 2" xfId="12050" xr:uid="{00000000-0005-0000-0000-0000122F0000}"/>
    <cellStyle name="Normal 127 2 3" xfId="12051" xr:uid="{00000000-0005-0000-0000-0000132F0000}"/>
    <cellStyle name="Normal 127 3" xfId="12052" xr:uid="{00000000-0005-0000-0000-0000142F0000}"/>
    <cellStyle name="Normal 127 3 2" xfId="12053" xr:uid="{00000000-0005-0000-0000-0000152F0000}"/>
    <cellStyle name="Normal 127 3 2 2" xfId="12054" xr:uid="{00000000-0005-0000-0000-0000162F0000}"/>
    <cellStyle name="Normal 127 3 3" xfId="12055" xr:uid="{00000000-0005-0000-0000-0000172F0000}"/>
    <cellStyle name="Normal 127 3 3 2" xfId="12056" xr:uid="{00000000-0005-0000-0000-0000182F0000}"/>
    <cellStyle name="Normal 127 3 3 2 2" xfId="12057" xr:uid="{00000000-0005-0000-0000-0000192F0000}"/>
    <cellStyle name="Normal 127 3 3 3" xfId="12058" xr:uid="{00000000-0005-0000-0000-00001A2F0000}"/>
    <cellStyle name="Normal 127 3 4" xfId="12059" xr:uid="{00000000-0005-0000-0000-00001B2F0000}"/>
    <cellStyle name="Normal 127 4" xfId="12060" xr:uid="{00000000-0005-0000-0000-00001C2F0000}"/>
    <cellStyle name="Normal 127 4 2" xfId="12061" xr:uid="{00000000-0005-0000-0000-00001D2F0000}"/>
    <cellStyle name="Normal 127 4 2 2" xfId="12062" xr:uid="{00000000-0005-0000-0000-00001E2F0000}"/>
    <cellStyle name="Normal 127 4 3" xfId="12063" xr:uid="{00000000-0005-0000-0000-00001F2F0000}"/>
    <cellStyle name="Normal 127 5" xfId="12064" xr:uid="{00000000-0005-0000-0000-0000202F0000}"/>
    <cellStyle name="Normal 128" xfId="12065" xr:uid="{00000000-0005-0000-0000-0000212F0000}"/>
    <cellStyle name="Normal 128 2" xfId="12066" xr:uid="{00000000-0005-0000-0000-0000222F0000}"/>
    <cellStyle name="Normal 128 2 2" xfId="12067" xr:uid="{00000000-0005-0000-0000-0000232F0000}"/>
    <cellStyle name="Normal 128 2 2 2" xfId="12068" xr:uid="{00000000-0005-0000-0000-0000242F0000}"/>
    <cellStyle name="Normal 128 2 3" xfId="12069" xr:uid="{00000000-0005-0000-0000-0000252F0000}"/>
    <cellStyle name="Normal 128 3" xfId="12070" xr:uid="{00000000-0005-0000-0000-0000262F0000}"/>
    <cellStyle name="Normal 128 3 2" xfId="12071" xr:uid="{00000000-0005-0000-0000-0000272F0000}"/>
    <cellStyle name="Normal 128 3 2 2" xfId="12072" xr:uid="{00000000-0005-0000-0000-0000282F0000}"/>
    <cellStyle name="Normal 128 3 3" xfId="12073" xr:uid="{00000000-0005-0000-0000-0000292F0000}"/>
    <cellStyle name="Normal 128 3 3 2" xfId="12074" xr:uid="{00000000-0005-0000-0000-00002A2F0000}"/>
    <cellStyle name="Normal 128 3 3 2 2" xfId="12075" xr:uid="{00000000-0005-0000-0000-00002B2F0000}"/>
    <cellStyle name="Normal 128 3 3 3" xfId="12076" xr:uid="{00000000-0005-0000-0000-00002C2F0000}"/>
    <cellStyle name="Normal 128 3 4" xfId="12077" xr:uid="{00000000-0005-0000-0000-00002D2F0000}"/>
    <cellStyle name="Normal 128 4" xfId="12078" xr:uid="{00000000-0005-0000-0000-00002E2F0000}"/>
    <cellStyle name="Normal 128 4 2" xfId="12079" xr:uid="{00000000-0005-0000-0000-00002F2F0000}"/>
    <cellStyle name="Normal 128 4 2 2" xfId="12080" xr:uid="{00000000-0005-0000-0000-0000302F0000}"/>
    <cellStyle name="Normal 128 4 3" xfId="12081" xr:uid="{00000000-0005-0000-0000-0000312F0000}"/>
    <cellStyle name="Normal 128 5" xfId="12082" xr:uid="{00000000-0005-0000-0000-0000322F0000}"/>
    <cellStyle name="Normal 129" xfId="12083" xr:uid="{00000000-0005-0000-0000-0000332F0000}"/>
    <cellStyle name="Normal 129 2" xfId="12084" xr:uid="{00000000-0005-0000-0000-0000342F0000}"/>
    <cellStyle name="Normal 129 2 2" xfId="12085" xr:uid="{00000000-0005-0000-0000-0000352F0000}"/>
    <cellStyle name="Normal 129 2 2 2" xfId="12086" xr:uid="{00000000-0005-0000-0000-0000362F0000}"/>
    <cellStyle name="Normal 129 2 3" xfId="12087" xr:uid="{00000000-0005-0000-0000-0000372F0000}"/>
    <cellStyle name="Normal 129 3" xfId="12088" xr:uid="{00000000-0005-0000-0000-0000382F0000}"/>
    <cellStyle name="Normal 129 3 2" xfId="12089" xr:uid="{00000000-0005-0000-0000-0000392F0000}"/>
    <cellStyle name="Normal 129 3 2 2" xfId="12090" xr:uid="{00000000-0005-0000-0000-00003A2F0000}"/>
    <cellStyle name="Normal 129 3 3" xfId="12091" xr:uid="{00000000-0005-0000-0000-00003B2F0000}"/>
    <cellStyle name="Normal 129 3 3 2" xfId="12092" xr:uid="{00000000-0005-0000-0000-00003C2F0000}"/>
    <cellStyle name="Normal 129 3 3 2 2" xfId="12093" xr:uid="{00000000-0005-0000-0000-00003D2F0000}"/>
    <cellStyle name="Normal 129 3 3 3" xfId="12094" xr:uid="{00000000-0005-0000-0000-00003E2F0000}"/>
    <cellStyle name="Normal 129 3 4" xfId="12095" xr:uid="{00000000-0005-0000-0000-00003F2F0000}"/>
    <cellStyle name="Normal 129 4" xfId="12096" xr:uid="{00000000-0005-0000-0000-0000402F0000}"/>
    <cellStyle name="Normal 129 4 2" xfId="12097" xr:uid="{00000000-0005-0000-0000-0000412F0000}"/>
    <cellStyle name="Normal 129 4 2 2" xfId="12098" xr:uid="{00000000-0005-0000-0000-0000422F0000}"/>
    <cellStyle name="Normal 129 4 3" xfId="12099" xr:uid="{00000000-0005-0000-0000-0000432F0000}"/>
    <cellStyle name="Normal 129 5" xfId="12100" xr:uid="{00000000-0005-0000-0000-0000442F0000}"/>
    <cellStyle name="Normal 13" xfId="61" xr:uid="{00000000-0005-0000-0000-00003D000000}"/>
    <cellStyle name="Normal 13 2" xfId="12101" xr:uid="{00000000-0005-0000-0000-0000452F0000}"/>
    <cellStyle name="Normal 13 2 2" xfId="12102" xr:uid="{00000000-0005-0000-0000-0000462F0000}"/>
    <cellStyle name="Normal 13 2 2 2" xfId="12103" xr:uid="{00000000-0005-0000-0000-0000472F0000}"/>
    <cellStyle name="Normal 13 2 3" xfId="12104" xr:uid="{00000000-0005-0000-0000-0000482F0000}"/>
    <cellStyle name="Normal 13 2 3 2" xfId="12105" xr:uid="{00000000-0005-0000-0000-0000492F0000}"/>
    <cellStyle name="Normal 13 2 3 2 2" xfId="12106" xr:uid="{00000000-0005-0000-0000-00004A2F0000}"/>
    <cellStyle name="Normal 13 2 3 3" xfId="12107" xr:uid="{00000000-0005-0000-0000-00004B2F0000}"/>
    <cellStyle name="Normal 13 2 4" xfId="12108" xr:uid="{00000000-0005-0000-0000-00004C2F0000}"/>
    <cellStyle name="Normal 13 3" xfId="12109" xr:uid="{00000000-0005-0000-0000-00004D2F0000}"/>
    <cellStyle name="Normal 13 3 2" xfId="12110" xr:uid="{00000000-0005-0000-0000-00004E2F0000}"/>
    <cellStyle name="Normal 13 3 2 2" xfId="12111" xr:uid="{00000000-0005-0000-0000-00004F2F0000}"/>
    <cellStyle name="Normal 13 3 2 2 2" xfId="12112" xr:uid="{00000000-0005-0000-0000-0000502F0000}"/>
    <cellStyle name="Normal 13 3 2 3" xfId="12113" xr:uid="{00000000-0005-0000-0000-0000512F0000}"/>
    <cellStyle name="Normal 13 3 3" xfId="12114" xr:uid="{00000000-0005-0000-0000-0000522F0000}"/>
    <cellStyle name="Normal 13 3 3 2" xfId="12115" xr:uid="{00000000-0005-0000-0000-0000532F0000}"/>
    <cellStyle name="Normal 13 3 3 2 2" xfId="12116" xr:uid="{00000000-0005-0000-0000-0000542F0000}"/>
    <cellStyle name="Normal 13 3 3 3" xfId="12117" xr:uid="{00000000-0005-0000-0000-0000552F0000}"/>
    <cellStyle name="Normal 13 3 4" xfId="12118" xr:uid="{00000000-0005-0000-0000-0000562F0000}"/>
    <cellStyle name="Normal 13 4" xfId="12119" xr:uid="{00000000-0005-0000-0000-0000572F0000}"/>
    <cellStyle name="Normal 13 4 2" xfId="12120" xr:uid="{00000000-0005-0000-0000-0000582F0000}"/>
    <cellStyle name="Normal 13 5" xfId="12121" xr:uid="{00000000-0005-0000-0000-0000592F0000}"/>
    <cellStyle name="Normal 13 5 2" xfId="12122" xr:uid="{00000000-0005-0000-0000-00005A2F0000}"/>
    <cellStyle name="Normal 13 5 2 2" xfId="12123" xr:uid="{00000000-0005-0000-0000-00005B2F0000}"/>
    <cellStyle name="Normal 13 5 3" xfId="12124" xr:uid="{00000000-0005-0000-0000-00005C2F0000}"/>
    <cellStyle name="Normal 13 6" xfId="12125" xr:uid="{00000000-0005-0000-0000-00005D2F0000}"/>
    <cellStyle name="Normal 13 6 2" xfId="12126" xr:uid="{00000000-0005-0000-0000-00005E2F0000}"/>
    <cellStyle name="Normal 13 6 2 2" xfId="12127" xr:uid="{00000000-0005-0000-0000-00005F2F0000}"/>
    <cellStyle name="Normal 13 6 3" xfId="12128" xr:uid="{00000000-0005-0000-0000-0000602F0000}"/>
    <cellStyle name="Normal 13 7" xfId="12129" xr:uid="{00000000-0005-0000-0000-0000612F0000}"/>
    <cellStyle name="Normal 13 7 2" xfId="12130" xr:uid="{00000000-0005-0000-0000-0000622F0000}"/>
    <cellStyle name="Normal 13 8" xfId="12131" xr:uid="{00000000-0005-0000-0000-0000632F0000}"/>
    <cellStyle name="Normal 13 9" xfId="12132" xr:uid="{00000000-0005-0000-0000-0000642F0000}"/>
    <cellStyle name="Normal 130" xfId="12133" xr:uid="{00000000-0005-0000-0000-0000652F0000}"/>
    <cellStyle name="Normal 130 2" xfId="12134" xr:uid="{00000000-0005-0000-0000-0000662F0000}"/>
    <cellStyle name="Normal 130 2 2" xfId="12135" xr:uid="{00000000-0005-0000-0000-0000672F0000}"/>
    <cellStyle name="Normal 130 2 2 2" xfId="12136" xr:uid="{00000000-0005-0000-0000-0000682F0000}"/>
    <cellStyle name="Normal 130 2 3" xfId="12137" xr:uid="{00000000-0005-0000-0000-0000692F0000}"/>
    <cellStyle name="Normal 130 3" xfId="12138" xr:uid="{00000000-0005-0000-0000-00006A2F0000}"/>
    <cellStyle name="Normal 130 3 2" xfId="12139" xr:uid="{00000000-0005-0000-0000-00006B2F0000}"/>
    <cellStyle name="Normal 130 3 2 2" xfId="12140" xr:uid="{00000000-0005-0000-0000-00006C2F0000}"/>
    <cellStyle name="Normal 130 3 3" xfId="12141" xr:uid="{00000000-0005-0000-0000-00006D2F0000}"/>
    <cellStyle name="Normal 130 3 3 2" xfId="12142" xr:uid="{00000000-0005-0000-0000-00006E2F0000}"/>
    <cellStyle name="Normal 130 3 3 2 2" xfId="12143" xr:uid="{00000000-0005-0000-0000-00006F2F0000}"/>
    <cellStyle name="Normal 130 3 3 3" xfId="12144" xr:uid="{00000000-0005-0000-0000-0000702F0000}"/>
    <cellStyle name="Normal 130 3 4" xfId="12145" xr:uid="{00000000-0005-0000-0000-0000712F0000}"/>
    <cellStyle name="Normal 130 4" xfId="12146" xr:uid="{00000000-0005-0000-0000-0000722F0000}"/>
    <cellStyle name="Normal 130 4 2" xfId="12147" xr:uid="{00000000-0005-0000-0000-0000732F0000}"/>
    <cellStyle name="Normal 130 4 2 2" xfId="12148" xr:uid="{00000000-0005-0000-0000-0000742F0000}"/>
    <cellStyle name="Normal 130 4 3" xfId="12149" xr:uid="{00000000-0005-0000-0000-0000752F0000}"/>
    <cellStyle name="Normal 130 5" xfId="12150" xr:uid="{00000000-0005-0000-0000-0000762F0000}"/>
    <cellStyle name="Normal 131" xfId="12151" xr:uid="{00000000-0005-0000-0000-0000772F0000}"/>
    <cellStyle name="Normal 131 2" xfId="12152" xr:uid="{00000000-0005-0000-0000-0000782F0000}"/>
    <cellStyle name="Normal 131 2 2" xfId="12153" xr:uid="{00000000-0005-0000-0000-0000792F0000}"/>
    <cellStyle name="Normal 131 2 2 2" xfId="12154" xr:uid="{00000000-0005-0000-0000-00007A2F0000}"/>
    <cellStyle name="Normal 131 2 3" xfId="12155" xr:uid="{00000000-0005-0000-0000-00007B2F0000}"/>
    <cellStyle name="Normal 131 3" xfId="12156" xr:uid="{00000000-0005-0000-0000-00007C2F0000}"/>
    <cellStyle name="Normal 131 3 2" xfId="12157" xr:uid="{00000000-0005-0000-0000-00007D2F0000}"/>
    <cellStyle name="Normal 131 3 2 2" xfId="12158" xr:uid="{00000000-0005-0000-0000-00007E2F0000}"/>
    <cellStyle name="Normal 131 3 3" xfId="12159" xr:uid="{00000000-0005-0000-0000-00007F2F0000}"/>
    <cellStyle name="Normal 131 3 3 2" xfId="12160" xr:uid="{00000000-0005-0000-0000-0000802F0000}"/>
    <cellStyle name="Normal 131 3 3 2 2" xfId="12161" xr:uid="{00000000-0005-0000-0000-0000812F0000}"/>
    <cellStyle name="Normal 131 3 3 3" xfId="12162" xr:uid="{00000000-0005-0000-0000-0000822F0000}"/>
    <cellStyle name="Normal 131 3 4" xfId="12163" xr:uid="{00000000-0005-0000-0000-0000832F0000}"/>
    <cellStyle name="Normal 131 4" xfId="12164" xr:uid="{00000000-0005-0000-0000-0000842F0000}"/>
    <cellStyle name="Normal 131 4 2" xfId="12165" xr:uid="{00000000-0005-0000-0000-0000852F0000}"/>
    <cellStyle name="Normal 131 4 2 2" xfId="12166" xr:uid="{00000000-0005-0000-0000-0000862F0000}"/>
    <cellStyle name="Normal 131 4 3" xfId="12167" xr:uid="{00000000-0005-0000-0000-0000872F0000}"/>
    <cellStyle name="Normal 131 5" xfId="12168" xr:uid="{00000000-0005-0000-0000-0000882F0000}"/>
    <cellStyle name="Normal 132" xfId="12169" xr:uid="{00000000-0005-0000-0000-0000892F0000}"/>
    <cellStyle name="Normal 132 2" xfId="12170" xr:uid="{00000000-0005-0000-0000-00008A2F0000}"/>
    <cellStyle name="Normal 132 2 2" xfId="12171" xr:uid="{00000000-0005-0000-0000-00008B2F0000}"/>
    <cellStyle name="Normal 132 2 2 2" xfId="12172" xr:uid="{00000000-0005-0000-0000-00008C2F0000}"/>
    <cellStyle name="Normal 132 2 3" xfId="12173" xr:uid="{00000000-0005-0000-0000-00008D2F0000}"/>
    <cellStyle name="Normal 132 3" xfId="12174" xr:uid="{00000000-0005-0000-0000-00008E2F0000}"/>
    <cellStyle name="Normal 132 3 2" xfId="12175" xr:uid="{00000000-0005-0000-0000-00008F2F0000}"/>
    <cellStyle name="Normal 132 3 2 2" xfId="12176" xr:uid="{00000000-0005-0000-0000-0000902F0000}"/>
    <cellStyle name="Normal 132 3 3" xfId="12177" xr:uid="{00000000-0005-0000-0000-0000912F0000}"/>
    <cellStyle name="Normal 132 3 3 2" xfId="12178" xr:uid="{00000000-0005-0000-0000-0000922F0000}"/>
    <cellStyle name="Normal 132 3 3 2 2" xfId="12179" xr:uid="{00000000-0005-0000-0000-0000932F0000}"/>
    <cellStyle name="Normal 132 3 3 3" xfId="12180" xr:uid="{00000000-0005-0000-0000-0000942F0000}"/>
    <cellStyle name="Normal 132 3 4" xfId="12181" xr:uid="{00000000-0005-0000-0000-0000952F0000}"/>
    <cellStyle name="Normal 132 4" xfId="12182" xr:uid="{00000000-0005-0000-0000-0000962F0000}"/>
    <cellStyle name="Normal 132 4 2" xfId="12183" xr:uid="{00000000-0005-0000-0000-0000972F0000}"/>
    <cellStyle name="Normal 132 4 2 2" xfId="12184" xr:uid="{00000000-0005-0000-0000-0000982F0000}"/>
    <cellStyle name="Normal 132 4 3" xfId="12185" xr:uid="{00000000-0005-0000-0000-0000992F0000}"/>
    <cellStyle name="Normal 132 5" xfId="12186" xr:uid="{00000000-0005-0000-0000-00009A2F0000}"/>
    <cellStyle name="Normal 133" xfId="12187" xr:uid="{00000000-0005-0000-0000-00009B2F0000}"/>
    <cellStyle name="Normal 133 2" xfId="12188" xr:uid="{00000000-0005-0000-0000-00009C2F0000}"/>
    <cellStyle name="Normal 133 2 2" xfId="12189" xr:uid="{00000000-0005-0000-0000-00009D2F0000}"/>
    <cellStyle name="Normal 133 2 2 2" xfId="12190" xr:uid="{00000000-0005-0000-0000-00009E2F0000}"/>
    <cellStyle name="Normal 133 2 3" xfId="12191" xr:uid="{00000000-0005-0000-0000-00009F2F0000}"/>
    <cellStyle name="Normal 133 3" xfId="12192" xr:uid="{00000000-0005-0000-0000-0000A02F0000}"/>
    <cellStyle name="Normal 133 3 2" xfId="12193" xr:uid="{00000000-0005-0000-0000-0000A12F0000}"/>
    <cellStyle name="Normal 133 3 2 2" xfId="12194" xr:uid="{00000000-0005-0000-0000-0000A22F0000}"/>
    <cellStyle name="Normal 133 3 3" xfId="12195" xr:uid="{00000000-0005-0000-0000-0000A32F0000}"/>
    <cellStyle name="Normal 133 3 3 2" xfId="12196" xr:uid="{00000000-0005-0000-0000-0000A42F0000}"/>
    <cellStyle name="Normal 133 3 3 2 2" xfId="12197" xr:uid="{00000000-0005-0000-0000-0000A52F0000}"/>
    <cellStyle name="Normal 133 3 3 3" xfId="12198" xr:uid="{00000000-0005-0000-0000-0000A62F0000}"/>
    <cellStyle name="Normal 133 3 4" xfId="12199" xr:uid="{00000000-0005-0000-0000-0000A72F0000}"/>
    <cellStyle name="Normal 133 4" xfId="12200" xr:uid="{00000000-0005-0000-0000-0000A82F0000}"/>
    <cellStyle name="Normal 133 4 2" xfId="12201" xr:uid="{00000000-0005-0000-0000-0000A92F0000}"/>
    <cellStyle name="Normal 133 4 2 2" xfId="12202" xr:uid="{00000000-0005-0000-0000-0000AA2F0000}"/>
    <cellStyle name="Normal 133 4 3" xfId="12203" xr:uid="{00000000-0005-0000-0000-0000AB2F0000}"/>
    <cellStyle name="Normal 133 5" xfId="12204" xr:uid="{00000000-0005-0000-0000-0000AC2F0000}"/>
    <cellStyle name="Normal 134" xfId="12205" xr:uid="{00000000-0005-0000-0000-0000AD2F0000}"/>
    <cellStyle name="Normal 134 2" xfId="12206" xr:uid="{00000000-0005-0000-0000-0000AE2F0000}"/>
    <cellStyle name="Normal 134 2 2" xfId="12207" xr:uid="{00000000-0005-0000-0000-0000AF2F0000}"/>
    <cellStyle name="Normal 134 2 2 2" xfId="12208" xr:uid="{00000000-0005-0000-0000-0000B02F0000}"/>
    <cellStyle name="Normal 134 2 3" xfId="12209" xr:uid="{00000000-0005-0000-0000-0000B12F0000}"/>
    <cellStyle name="Normal 134 3" xfId="12210" xr:uid="{00000000-0005-0000-0000-0000B22F0000}"/>
    <cellStyle name="Normal 134 3 2" xfId="12211" xr:uid="{00000000-0005-0000-0000-0000B32F0000}"/>
    <cellStyle name="Normal 134 3 2 2" xfId="12212" xr:uid="{00000000-0005-0000-0000-0000B42F0000}"/>
    <cellStyle name="Normal 134 3 3" xfId="12213" xr:uid="{00000000-0005-0000-0000-0000B52F0000}"/>
    <cellStyle name="Normal 134 3 3 2" xfId="12214" xr:uid="{00000000-0005-0000-0000-0000B62F0000}"/>
    <cellStyle name="Normal 134 3 3 2 2" xfId="12215" xr:uid="{00000000-0005-0000-0000-0000B72F0000}"/>
    <cellStyle name="Normal 134 3 3 3" xfId="12216" xr:uid="{00000000-0005-0000-0000-0000B82F0000}"/>
    <cellStyle name="Normal 134 3 4" xfId="12217" xr:uid="{00000000-0005-0000-0000-0000B92F0000}"/>
    <cellStyle name="Normal 134 4" xfId="12218" xr:uid="{00000000-0005-0000-0000-0000BA2F0000}"/>
    <cellStyle name="Normal 134 4 2" xfId="12219" xr:uid="{00000000-0005-0000-0000-0000BB2F0000}"/>
    <cellStyle name="Normal 134 4 2 2" xfId="12220" xr:uid="{00000000-0005-0000-0000-0000BC2F0000}"/>
    <cellStyle name="Normal 134 4 3" xfId="12221" xr:uid="{00000000-0005-0000-0000-0000BD2F0000}"/>
    <cellStyle name="Normal 134 5" xfId="12222" xr:uid="{00000000-0005-0000-0000-0000BE2F0000}"/>
    <cellStyle name="Normal 135" xfId="12223" xr:uid="{00000000-0005-0000-0000-0000BF2F0000}"/>
    <cellStyle name="Normal 135 2" xfId="12224" xr:uid="{00000000-0005-0000-0000-0000C02F0000}"/>
    <cellStyle name="Normal 135 2 2" xfId="12225" xr:uid="{00000000-0005-0000-0000-0000C12F0000}"/>
    <cellStyle name="Normal 135 2 2 2" xfId="12226" xr:uid="{00000000-0005-0000-0000-0000C22F0000}"/>
    <cellStyle name="Normal 135 2 3" xfId="12227" xr:uid="{00000000-0005-0000-0000-0000C32F0000}"/>
    <cellStyle name="Normal 135 3" xfId="12228" xr:uid="{00000000-0005-0000-0000-0000C42F0000}"/>
    <cellStyle name="Normal 135 3 2" xfId="12229" xr:uid="{00000000-0005-0000-0000-0000C52F0000}"/>
    <cellStyle name="Normal 135 3 2 2" xfId="12230" xr:uid="{00000000-0005-0000-0000-0000C62F0000}"/>
    <cellStyle name="Normal 135 3 3" xfId="12231" xr:uid="{00000000-0005-0000-0000-0000C72F0000}"/>
    <cellStyle name="Normal 135 3 3 2" xfId="12232" xr:uid="{00000000-0005-0000-0000-0000C82F0000}"/>
    <cellStyle name="Normal 135 3 3 2 2" xfId="12233" xr:uid="{00000000-0005-0000-0000-0000C92F0000}"/>
    <cellStyle name="Normal 135 3 3 3" xfId="12234" xr:uid="{00000000-0005-0000-0000-0000CA2F0000}"/>
    <cellStyle name="Normal 135 3 4" xfId="12235" xr:uid="{00000000-0005-0000-0000-0000CB2F0000}"/>
    <cellStyle name="Normal 135 4" xfId="12236" xr:uid="{00000000-0005-0000-0000-0000CC2F0000}"/>
    <cellStyle name="Normal 135 4 2" xfId="12237" xr:uid="{00000000-0005-0000-0000-0000CD2F0000}"/>
    <cellStyle name="Normal 135 4 2 2" xfId="12238" xr:uid="{00000000-0005-0000-0000-0000CE2F0000}"/>
    <cellStyle name="Normal 135 4 3" xfId="12239" xr:uid="{00000000-0005-0000-0000-0000CF2F0000}"/>
    <cellStyle name="Normal 135 5" xfId="12240" xr:uid="{00000000-0005-0000-0000-0000D02F0000}"/>
    <cellStyle name="Normal 136" xfId="12241" xr:uid="{00000000-0005-0000-0000-0000D12F0000}"/>
    <cellStyle name="Normal 136 2" xfId="12242" xr:uid="{00000000-0005-0000-0000-0000D22F0000}"/>
    <cellStyle name="Normal 136 2 2" xfId="12243" xr:uid="{00000000-0005-0000-0000-0000D32F0000}"/>
    <cellStyle name="Normal 136 2 2 2" xfId="12244" xr:uid="{00000000-0005-0000-0000-0000D42F0000}"/>
    <cellStyle name="Normal 136 2 3" xfId="12245" xr:uid="{00000000-0005-0000-0000-0000D52F0000}"/>
    <cellStyle name="Normal 136 2 3 2" xfId="12246" xr:uid="{00000000-0005-0000-0000-0000D62F0000}"/>
    <cellStyle name="Normal 136 2 3 2 2" xfId="12247" xr:uid="{00000000-0005-0000-0000-0000D72F0000}"/>
    <cellStyle name="Normal 136 2 3 3" xfId="12248" xr:uid="{00000000-0005-0000-0000-0000D82F0000}"/>
    <cellStyle name="Normal 136 2 4" xfId="12249" xr:uid="{00000000-0005-0000-0000-0000D92F0000}"/>
    <cellStyle name="Normal 136 2 4 2" xfId="12250" xr:uid="{00000000-0005-0000-0000-0000DA2F0000}"/>
    <cellStyle name="Normal 136 2 4 2 2" xfId="12251" xr:uid="{00000000-0005-0000-0000-0000DB2F0000}"/>
    <cellStyle name="Normal 136 2 4 3" xfId="12252" xr:uid="{00000000-0005-0000-0000-0000DC2F0000}"/>
    <cellStyle name="Normal 136 2 5" xfId="12253" xr:uid="{00000000-0005-0000-0000-0000DD2F0000}"/>
    <cellStyle name="Normal 136 3" xfId="12254" xr:uid="{00000000-0005-0000-0000-0000DE2F0000}"/>
    <cellStyle name="Normal 136 3 2" xfId="12255" xr:uid="{00000000-0005-0000-0000-0000DF2F0000}"/>
    <cellStyle name="Normal 136 3 2 2" xfId="12256" xr:uid="{00000000-0005-0000-0000-0000E02F0000}"/>
    <cellStyle name="Normal 136 3 2 2 2" xfId="12257" xr:uid="{00000000-0005-0000-0000-0000E12F0000}"/>
    <cellStyle name="Normal 136 3 2 3" xfId="12258" xr:uid="{00000000-0005-0000-0000-0000E22F0000}"/>
    <cellStyle name="Normal 136 3 2 3 2" xfId="12259" xr:uid="{00000000-0005-0000-0000-0000E32F0000}"/>
    <cellStyle name="Normal 136 3 2 3 2 2" xfId="12260" xr:uid="{00000000-0005-0000-0000-0000E42F0000}"/>
    <cellStyle name="Normal 136 3 2 3 3" xfId="12261" xr:uid="{00000000-0005-0000-0000-0000E52F0000}"/>
    <cellStyle name="Normal 136 3 2 4" xfId="12262" xr:uid="{00000000-0005-0000-0000-0000E62F0000}"/>
    <cellStyle name="Normal 136 3 3" xfId="12263" xr:uid="{00000000-0005-0000-0000-0000E72F0000}"/>
    <cellStyle name="Normal 136 3 3 2" xfId="12264" xr:uid="{00000000-0005-0000-0000-0000E82F0000}"/>
    <cellStyle name="Normal 136 3 3 2 2" xfId="12265" xr:uid="{00000000-0005-0000-0000-0000E92F0000}"/>
    <cellStyle name="Normal 136 3 3 3" xfId="12266" xr:uid="{00000000-0005-0000-0000-0000EA2F0000}"/>
    <cellStyle name="Normal 136 3 4" xfId="12267" xr:uid="{00000000-0005-0000-0000-0000EB2F0000}"/>
    <cellStyle name="Normal 136 3 4 2" xfId="12268" xr:uid="{00000000-0005-0000-0000-0000EC2F0000}"/>
    <cellStyle name="Normal 136 3 4 2 2" xfId="12269" xr:uid="{00000000-0005-0000-0000-0000ED2F0000}"/>
    <cellStyle name="Normal 136 3 4 3" xfId="12270" xr:uid="{00000000-0005-0000-0000-0000EE2F0000}"/>
    <cellStyle name="Normal 136 3 5" xfId="12271" xr:uid="{00000000-0005-0000-0000-0000EF2F0000}"/>
    <cellStyle name="Normal 136 3 5 2" xfId="12272" xr:uid="{00000000-0005-0000-0000-0000F02F0000}"/>
    <cellStyle name="Normal 136 3 5 2 2" xfId="12273" xr:uid="{00000000-0005-0000-0000-0000F12F0000}"/>
    <cellStyle name="Normal 136 3 5 3" xfId="12274" xr:uid="{00000000-0005-0000-0000-0000F22F0000}"/>
    <cellStyle name="Normal 136 3 6" xfId="12275" xr:uid="{00000000-0005-0000-0000-0000F32F0000}"/>
    <cellStyle name="Normal 136 4" xfId="12276" xr:uid="{00000000-0005-0000-0000-0000F42F0000}"/>
    <cellStyle name="Normal 136 4 2" xfId="12277" xr:uid="{00000000-0005-0000-0000-0000F52F0000}"/>
    <cellStyle name="Normal 136 4 2 2" xfId="12278" xr:uid="{00000000-0005-0000-0000-0000F62F0000}"/>
    <cellStyle name="Normal 136 4 3" xfId="12279" xr:uid="{00000000-0005-0000-0000-0000F72F0000}"/>
    <cellStyle name="Normal 136 5" xfId="12280" xr:uid="{00000000-0005-0000-0000-0000F82F0000}"/>
    <cellStyle name="Normal 136 5 2" xfId="12281" xr:uid="{00000000-0005-0000-0000-0000F92F0000}"/>
    <cellStyle name="Normal 136 5 2 2" xfId="12282" xr:uid="{00000000-0005-0000-0000-0000FA2F0000}"/>
    <cellStyle name="Normal 136 5 3" xfId="12283" xr:uid="{00000000-0005-0000-0000-0000FB2F0000}"/>
    <cellStyle name="Normal 136 6" xfId="12284" xr:uid="{00000000-0005-0000-0000-0000FC2F0000}"/>
    <cellStyle name="Normal 136 6 2" xfId="12285" xr:uid="{00000000-0005-0000-0000-0000FD2F0000}"/>
    <cellStyle name="Normal 136 6 2 2" xfId="12286" xr:uid="{00000000-0005-0000-0000-0000FE2F0000}"/>
    <cellStyle name="Normal 136 6 3" xfId="12287" xr:uid="{00000000-0005-0000-0000-0000FF2F0000}"/>
    <cellStyle name="Normal 136 7" xfId="12288" xr:uid="{00000000-0005-0000-0000-000000300000}"/>
    <cellStyle name="Normal 137" xfId="12289" xr:uid="{00000000-0005-0000-0000-000001300000}"/>
    <cellStyle name="Normal 137 2" xfId="12290" xr:uid="{00000000-0005-0000-0000-000002300000}"/>
    <cellStyle name="Normal 137 2 2" xfId="12291" xr:uid="{00000000-0005-0000-0000-000003300000}"/>
    <cellStyle name="Normal 137 2 2 2" xfId="12292" xr:uid="{00000000-0005-0000-0000-000004300000}"/>
    <cellStyle name="Normal 137 2 3" xfId="12293" xr:uid="{00000000-0005-0000-0000-000005300000}"/>
    <cellStyle name="Normal 137 2 3 2" xfId="12294" xr:uid="{00000000-0005-0000-0000-000006300000}"/>
    <cellStyle name="Normal 137 2 3 2 2" xfId="12295" xr:uid="{00000000-0005-0000-0000-000007300000}"/>
    <cellStyle name="Normal 137 2 3 3" xfId="12296" xr:uid="{00000000-0005-0000-0000-000008300000}"/>
    <cellStyle name="Normal 137 2 4" xfId="12297" xr:uid="{00000000-0005-0000-0000-000009300000}"/>
    <cellStyle name="Normal 137 2 4 2" xfId="12298" xr:uid="{00000000-0005-0000-0000-00000A300000}"/>
    <cellStyle name="Normal 137 2 4 2 2" xfId="12299" xr:uid="{00000000-0005-0000-0000-00000B300000}"/>
    <cellStyle name="Normal 137 2 4 3" xfId="12300" xr:uid="{00000000-0005-0000-0000-00000C300000}"/>
    <cellStyle name="Normal 137 2 5" xfId="12301" xr:uid="{00000000-0005-0000-0000-00000D300000}"/>
    <cellStyle name="Normal 137 3" xfId="12302" xr:uid="{00000000-0005-0000-0000-00000E300000}"/>
    <cellStyle name="Normal 137 3 2" xfId="12303" xr:uid="{00000000-0005-0000-0000-00000F300000}"/>
    <cellStyle name="Normal 137 3 2 2" xfId="12304" xr:uid="{00000000-0005-0000-0000-000010300000}"/>
    <cellStyle name="Normal 137 3 2 2 2" xfId="12305" xr:uid="{00000000-0005-0000-0000-000011300000}"/>
    <cellStyle name="Normal 137 3 2 3" xfId="12306" xr:uid="{00000000-0005-0000-0000-000012300000}"/>
    <cellStyle name="Normal 137 3 2 3 2" xfId="12307" xr:uid="{00000000-0005-0000-0000-000013300000}"/>
    <cellStyle name="Normal 137 3 2 3 2 2" xfId="12308" xr:uid="{00000000-0005-0000-0000-000014300000}"/>
    <cellStyle name="Normal 137 3 2 3 3" xfId="12309" xr:uid="{00000000-0005-0000-0000-000015300000}"/>
    <cellStyle name="Normal 137 3 2 4" xfId="12310" xr:uid="{00000000-0005-0000-0000-000016300000}"/>
    <cellStyle name="Normal 137 3 3" xfId="12311" xr:uid="{00000000-0005-0000-0000-000017300000}"/>
    <cellStyle name="Normal 137 3 3 2" xfId="12312" xr:uid="{00000000-0005-0000-0000-000018300000}"/>
    <cellStyle name="Normal 137 3 3 2 2" xfId="12313" xr:uid="{00000000-0005-0000-0000-000019300000}"/>
    <cellStyle name="Normal 137 3 3 3" xfId="12314" xr:uid="{00000000-0005-0000-0000-00001A300000}"/>
    <cellStyle name="Normal 137 3 4" xfId="12315" xr:uid="{00000000-0005-0000-0000-00001B300000}"/>
    <cellStyle name="Normal 137 3 4 2" xfId="12316" xr:uid="{00000000-0005-0000-0000-00001C300000}"/>
    <cellStyle name="Normal 137 3 4 2 2" xfId="12317" xr:uid="{00000000-0005-0000-0000-00001D300000}"/>
    <cellStyle name="Normal 137 3 4 3" xfId="12318" xr:uid="{00000000-0005-0000-0000-00001E300000}"/>
    <cellStyle name="Normal 137 3 5" xfId="12319" xr:uid="{00000000-0005-0000-0000-00001F300000}"/>
    <cellStyle name="Normal 137 3 5 2" xfId="12320" xr:uid="{00000000-0005-0000-0000-000020300000}"/>
    <cellStyle name="Normal 137 3 5 2 2" xfId="12321" xr:uid="{00000000-0005-0000-0000-000021300000}"/>
    <cellStyle name="Normal 137 3 5 3" xfId="12322" xr:uid="{00000000-0005-0000-0000-000022300000}"/>
    <cellStyle name="Normal 137 3 6" xfId="12323" xr:uid="{00000000-0005-0000-0000-000023300000}"/>
    <cellStyle name="Normal 137 4" xfId="12324" xr:uid="{00000000-0005-0000-0000-000024300000}"/>
    <cellStyle name="Normal 137 4 2" xfId="12325" xr:uid="{00000000-0005-0000-0000-000025300000}"/>
    <cellStyle name="Normal 137 4 2 2" xfId="12326" xr:uid="{00000000-0005-0000-0000-000026300000}"/>
    <cellStyle name="Normal 137 4 3" xfId="12327" xr:uid="{00000000-0005-0000-0000-000027300000}"/>
    <cellStyle name="Normal 137 5" xfId="12328" xr:uid="{00000000-0005-0000-0000-000028300000}"/>
    <cellStyle name="Normal 137 5 2" xfId="12329" xr:uid="{00000000-0005-0000-0000-000029300000}"/>
    <cellStyle name="Normal 137 5 2 2" xfId="12330" xr:uid="{00000000-0005-0000-0000-00002A300000}"/>
    <cellStyle name="Normal 137 5 3" xfId="12331" xr:uid="{00000000-0005-0000-0000-00002B300000}"/>
    <cellStyle name="Normal 137 6" xfId="12332" xr:uid="{00000000-0005-0000-0000-00002C300000}"/>
    <cellStyle name="Normal 137 6 2" xfId="12333" xr:uid="{00000000-0005-0000-0000-00002D300000}"/>
    <cellStyle name="Normal 137 6 2 2" xfId="12334" xr:uid="{00000000-0005-0000-0000-00002E300000}"/>
    <cellStyle name="Normal 137 6 3" xfId="12335" xr:uid="{00000000-0005-0000-0000-00002F300000}"/>
    <cellStyle name="Normal 137 7" xfId="12336" xr:uid="{00000000-0005-0000-0000-000030300000}"/>
    <cellStyle name="Normal 138" xfId="12337" xr:uid="{00000000-0005-0000-0000-000031300000}"/>
    <cellStyle name="Normal 138 2" xfId="12338" xr:uid="{00000000-0005-0000-0000-000032300000}"/>
    <cellStyle name="Normal 138 2 2" xfId="12339" xr:uid="{00000000-0005-0000-0000-000033300000}"/>
    <cellStyle name="Normal 138 2 2 2" xfId="12340" xr:uid="{00000000-0005-0000-0000-000034300000}"/>
    <cellStyle name="Normal 138 2 3" xfId="12341" xr:uid="{00000000-0005-0000-0000-000035300000}"/>
    <cellStyle name="Normal 138 2 3 2" xfId="12342" xr:uid="{00000000-0005-0000-0000-000036300000}"/>
    <cellStyle name="Normal 138 2 3 2 2" xfId="12343" xr:uid="{00000000-0005-0000-0000-000037300000}"/>
    <cellStyle name="Normal 138 2 3 3" xfId="12344" xr:uid="{00000000-0005-0000-0000-000038300000}"/>
    <cellStyle name="Normal 138 2 4" xfId="12345" xr:uid="{00000000-0005-0000-0000-000039300000}"/>
    <cellStyle name="Normal 138 2 4 2" xfId="12346" xr:uid="{00000000-0005-0000-0000-00003A300000}"/>
    <cellStyle name="Normal 138 2 4 2 2" xfId="12347" xr:uid="{00000000-0005-0000-0000-00003B300000}"/>
    <cellStyle name="Normal 138 2 4 3" xfId="12348" xr:uid="{00000000-0005-0000-0000-00003C300000}"/>
    <cellStyle name="Normal 138 2 5" xfId="12349" xr:uid="{00000000-0005-0000-0000-00003D300000}"/>
    <cellStyle name="Normal 138 3" xfId="12350" xr:uid="{00000000-0005-0000-0000-00003E300000}"/>
    <cellStyle name="Normal 138 3 2" xfId="12351" xr:uid="{00000000-0005-0000-0000-00003F300000}"/>
    <cellStyle name="Normal 138 3 2 2" xfId="12352" xr:uid="{00000000-0005-0000-0000-000040300000}"/>
    <cellStyle name="Normal 138 3 2 2 2" xfId="12353" xr:uid="{00000000-0005-0000-0000-000041300000}"/>
    <cellStyle name="Normal 138 3 2 3" xfId="12354" xr:uid="{00000000-0005-0000-0000-000042300000}"/>
    <cellStyle name="Normal 138 3 2 3 2" xfId="12355" xr:uid="{00000000-0005-0000-0000-000043300000}"/>
    <cellStyle name="Normal 138 3 2 3 2 2" xfId="12356" xr:uid="{00000000-0005-0000-0000-000044300000}"/>
    <cellStyle name="Normal 138 3 2 3 3" xfId="12357" xr:uid="{00000000-0005-0000-0000-000045300000}"/>
    <cellStyle name="Normal 138 3 2 4" xfId="12358" xr:uid="{00000000-0005-0000-0000-000046300000}"/>
    <cellStyle name="Normal 138 3 3" xfId="12359" xr:uid="{00000000-0005-0000-0000-000047300000}"/>
    <cellStyle name="Normal 138 3 3 2" xfId="12360" xr:uid="{00000000-0005-0000-0000-000048300000}"/>
    <cellStyle name="Normal 138 3 3 2 2" xfId="12361" xr:uid="{00000000-0005-0000-0000-000049300000}"/>
    <cellStyle name="Normal 138 3 3 3" xfId="12362" xr:uid="{00000000-0005-0000-0000-00004A300000}"/>
    <cellStyle name="Normal 138 3 4" xfId="12363" xr:uid="{00000000-0005-0000-0000-00004B300000}"/>
    <cellStyle name="Normal 138 3 4 2" xfId="12364" xr:uid="{00000000-0005-0000-0000-00004C300000}"/>
    <cellStyle name="Normal 138 3 4 2 2" xfId="12365" xr:uid="{00000000-0005-0000-0000-00004D300000}"/>
    <cellStyle name="Normal 138 3 4 3" xfId="12366" xr:uid="{00000000-0005-0000-0000-00004E300000}"/>
    <cellStyle name="Normal 138 3 5" xfId="12367" xr:uid="{00000000-0005-0000-0000-00004F300000}"/>
    <cellStyle name="Normal 138 3 5 2" xfId="12368" xr:uid="{00000000-0005-0000-0000-000050300000}"/>
    <cellStyle name="Normal 138 3 5 2 2" xfId="12369" xr:uid="{00000000-0005-0000-0000-000051300000}"/>
    <cellStyle name="Normal 138 3 5 3" xfId="12370" xr:uid="{00000000-0005-0000-0000-000052300000}"/>
    <cellStyle name="Normal 138 3 6" xfId="12371" xr:uid="{00000000-0005-0000-0000-000053300000}"/>
    <cellStyle name="Normal 138 4" xfId="12372" xr:uid="{00000000-0005-0000-0000-000054300000}"/>
    <cellStyle name="Normal 138 4 2" xfId="12373" xr:uid="{00000000-0005-0000-0000-000055300000}"/>
    <cellStyle name="Normal 138 4 2 2" xfId="12374" xr:uid="{00000000-0005-0000-0000-000056300000}"/>
    <cellStyle name="Normal 138 4 3" xfId="12375" xr:uid="{00000000-0005-0000-0000-000057300000}"/>
    <cellStyle name="Normal 138 5" xfId="12376" xr:uid="{00000000-0005-0000-0000-000058300000}"/>
    <cellStyle name="Normal 138 5 2" xfId="12377" xr:uid="{00000000-0005-0000-0000-000059300000}"/>
    <cellStyle name="Normal 138 5 2 2" xfId="12378" xr:uid="{00000000-0005-0000-0000-00005A300000}"/>
    <cellStyle name="Normal 138 5 3" xfId="12379" xr:uid="{00000000-0005-0000-0000-00005B300000}"/>
    <cellStyle name="Normal 138 6" xfId="12380" xr:uid="{00000000-0005-0000-0000-00005C300000}"/>
    <cellStyle name="Normal 138 6 2" xfId="12381" xr:uid="{00000000-0005-0000-0000-00005D300000}"/>
    <cellStyle name="Normal 138 6 2 2" xfId="12382" xr:uid="{00000000-0005-0000-0000-00005E300000}"/>
    <cellStyle name="Normal 138 6 3" xfId="12383" xr:uid="{00000000-0005-0000-0000-00005F300000}"/>
    <cellStyle name="Normal 138 7" xfId="12384" xr:uid="{00000000-0005-0000-0000-000060300000}"/>
    <cellStyle name="Normal 139" xfId="12385" xr:uid="{00000000-0005-0000-0000-000061300000}"/>
    <cellStyle name="Normal 139 2" xfId="12386" xr:uid="{00000000-0005-0000-0000-000062300000}"/>
    <cellStyle name="Normal 139 2 2" xfId="12387" xr:uid="{00000000-0005-0000-0000-000063300000}"/>
    <cellStyle name="Normal 139 2 2 2" xfId="12388" xr:uid="{00000000-0005-0000-0000-000064300000}"/>
    <cellStyle name="Normal 139 2 3" xfId="12389" xr:uid="{00000000-0005-0000-0000-000065300000}"/>
    <cellStyle name="Normal 139 2 3 2" xfId="12390" xr:uid="{00000000-0005-0000-0000-000066300000}"/>
    <cellStyle name="Normal 139 2 3 2 2" xfId="12391" xr:uid="{00000000-0005-0000-0000-000067300000}"/>
    <cellStyle name="Normal 139 2 3 3" xfId="12392" xr:uid="{00000000-0005-0000-0000-000068300000}"/>
    <cellStyle name="Normal 139 2 4" xfId="12393" xr:uid="{00000000-0005-0000-0000-000069300000}"/>
    <cellStyle name="Normal 139 2 4 2" xfId="12394" xr:uid="{00000000-0005-0000-0000-00006A300000}"/>
    <cellStyle name="Normal 139 2 4 2 2" xfId="12395" xr:uid="{00000000-0005-0000-0000-00006B300000}"/>
    <cellStyle name="Normal 139 2 4 3" xfId="12396" xr:uid="{00000000-0005-0000-0000-00006C300000}"/>
    <cellStyle name="Normal 139 2 5" xfId="12397" xr:uid="{00000000-0005-0000-0000-00006D300000}"/>
    <cellStyle name="Normal 139 3" xfId="12398" xr:uid="{00000000-0005-0000-0000-00006E300000}"/>
    <cellStyle name="Normal 139 3 2" xfId="12399" xr:uid="{00000000-0005-0000-0000-00006F300000}"/>
    <cellStyle name="Normal 139 3 2 2" xfId="12400" xr:uid="{00000000-0005-0000-0000-000070300000}"/>
    <cellStyle name="Normal 139 3 2 2 2" xfId="12401" xr:uid="{00000000-0005-0000-0000-000071300000}"/>
    <cellStyle name="Normal 139 3 2 3" xfId="12402" xr:uid="{00000000-0005-0000-0000-000072300000}"/>
    <cellStyle name="Normal 139 3 2 3 2" xfId="12403" xr:uid="{00000000-0005-0000-0000-000073300000}"/>
    <cellStyle name="Normal 139 3 2 3 2 2" xfId="12404" xr:uid="{00000000-0005-0000-0000-000074300000}"/>
    <cellStyle name="Normal 139 3 2 3 3" xfId="12405" xr:uid="{00000000-0005-0000-0000-000075300000}"/>
    <cellStyle name="Normal 139 3 2 4" xfId="12406" xr:uid="{00000000-0005-0000-0000-000076300000}"/>
    <cellStyle name="Normal 139 3 3" xfId="12407" xr:uid="{00000000-0005-0000-0000-000077300000}"/>
    <cellStyle name="Normal 139 3 3 2" xfId="12408" xr:uid="{00000000-0005-0000-0000-000078300000}"/>
    <cellStyle name="Normal 139 3 3 2 2" xfId="12409" xr:uid="{00000000-0005-0000-0000-000079300000}"/>
    <cellStyle name="Normal 139 3 3 3" xfId="12410" xr:uid="{00000000-0005-0000-0000-00007A300000}"/>
    <cellStyle name="Normal 139 3 4" xfId="12411" xr:uid="{00000000-0005-0000-0000-00007B300000}"/>
    <cellStyle name="Normal 139 3 4 2" xfId="12412" xr:uid="{00000000-0005-0000-0000-00007C300000}"/>
    <cellStyle name="Normal 139 3 4 2 2" xfId="12413" xr:uid="{00000000-0005-0000-0000-00007D300000}"/>
    <cellStyle name="Normal 139 3 4 3" xfId="12414" xr:uid="{00000000-0005-0000-0000-00007E300000}"/>
    <cellStyle name="Normal 139 3 5" xfId="12415" xr:uid="{00000000-0005-0000-0000-00007F300000}"/>
    <cellStyle name="Normal 139 3 5 2" xfId="12416" xr:uid="{00000000-0005-0000-0000-000080300000}"/>
    <cellStyle name="Normal 139 3 5 2 2" xfId="12417" xr:uid="{00000000-0005-0000-0000-000081300000}"/>
    <cellStyle name="Normal 139 3 5 3" xfId="12418" xr:uid="{00000000-0005-0000-0000-000082300000}"/>
    <cellStyle name="Normal 139 3 6" xfId="12419" xr:uid="{00000000-0005-0000-0000-000083300000}"/>
    <cellStyle name="Normal 139 4" xfId="12420" xr:uid="{00000000-0005-0000-0000-000084300000}"/>
    <cellStyle name="Normal 139 4 2" xfId="12421" xr:uid="{00000000-0005-0000-0000-000085300000}"/>
    <cellStyle name="Normal 139 4 2 2" xfId="12422" xr:uid="{00000000-0005-0000-0000-000086300000}"/>
    <cellStyle name="Normal 139 4 3" xfId="12423" xr:uid="{00000000-0005-0000-0000-000087300000}"/>
    <cellStyle name="Normal 139 5" xfId="12424" xr:uid="{00000000-0005-0000-0000-000088300000}"/>
    <cellStyle name="Normal 139 5 2" xfId="12425" xr:uid="{00000000-0005-0000-0000-000089300000}"/>
    <cellStyle name="Normal 139 5 2 2" xfId="12426" xr:uid="{00000000-0005-0000-0000-00008A300000}"/>
    <cellStyle name="Normal 139 5 3" xfId="12427" xr:uid="{00000000-0005-0000-0000-00008B300000}"/>
    <cellStyle name="Normal 139 6" xfId="12428" xr:uid="{00000000-0005-0000-0000-00008C300000}"/>
    <cellStyle name="Normal 139 6 2" xfId="12429" xr:uid="{00000000-0005-0000-0000-00008D300000}"/>
    <cellStyle name="Normal 139 6 2 2" xfId="12430" xr:uid="{00000000-0005-0000-0000-00008E300000}"/>
    <cellStyle name="Normal 139 6 3" xfId="12431" xr:uid="{00000000-0005-0000-0000-00008F300000}"/>
    <cellStyle name="Normal 139 7" xfId="12432" xr:uid="{00000000-0005-0000-0000-000090300000}"/>
    <cellStyle name="Normal 14" xfId="62" xr:uid="{00000000-0005-0000-0000-00003E000000}"/>
    <cellStyle name="Normal 14 2" xfId="12433" xr:uid="{00000000-0005-0000-0000-000091300000}"/>
    <cellStyle name="Normal 14 2 2" xfId="12434" xr:uid="{00000000-0005-0000-0000-000092300000}"/>
    <cellStyle name="Normal 14 2 2 2" xfId="12435" xr:uid="{00000000-0005-0000-0000-000093300000}"/>
    <cellStyle name="Normal 14 2 2 2 2" xfId="12436" xr:uid="{00000000-0005-0000-0000-000094300000}"/>
    <cellStyle name="Normal 14 2 2 3" xfId="12437" xr:uid="{00000000-0005-0000-0000-000095300000}"/>
    <cellStyle name="Normal 14 2 2 3 2" xfId="12438" xr:uid="{00000000-0005-0000-0000-000096300000}"/>
    <cellStyle name="Normal 14 2 2 3 2 2" xfId="12439" xr:uid="{00000000-0005-0000-0000-000097300000}"/>
    <cellStyle name="Normal 14 2 2 3 3" xfId="12440" xr:uid="{00000000-0005-0000-0000-000098300000}"/>
    <cellStyle name="Normal 14 2 2 4" xfId="12441" xr:uid="{00000000-0005-0000-0000-000099300000}"/>
    <cellStyle name="Normal 14 2 2 4 2" xfId="12442" xr:uid="{00000000-0005-0000-0000-00009A300000}"/>
    <cellStyle name="Normal 14 2 2 4 2 2" xfId="12443" xr:uid="{00000000-0005-0000-0000-00009B300000}"/>
    <cellStyle name="Normal 14 2 2 4 3" xfId="12444" xr:uid="{00000000-0005-0000-0000-00009C300000}"/>
    <cellStyle name="Normal 14 2 2 5" xfId="12445" xr:uid="{00000000-0005-0000-0000-00009D300000}"/>
    <cellStyle name="Normal 14 2 3" xfId="12446" xr:uid="{00000000-0005-0000-0000-00009E300000}"/>
    <cellStyle name="Normal 14 2 3 2" xfId="12447" xr:uid="{00000000-0005-0000-0000-00009F300000}"/>
    <cellStyle name="Normal 14 2 3 2 2" xfId="12448" xr:uid="{00000000-0005-0000-0000-0000A0300000}"/>
    <cellStyle name="Normal 14 2 3 2 2 2" xfId="12449" xr:uid="{00000000-0005-0000-0000-0000A1300000}"/>
    <cellStyle name="Normal 14 2 3 2 3" xfId="12450" xr:uid="{00000000-0005-0000-0000-0000A2300000}"/>
    <cellStyle name="Normal 14 2 3 2 3 2" xfId="12451" xr:uid="{00000000-0005-0000-0000-0000A3300000}"/>
    <cellStyle name="Normal 14 2 3 2 3 2 2" xfId="12452" xr:uid="{00000000-0005-0000-0000-0000A4300000}"/>
    <cellStyle name="Normal 14 2 3 2 3 3" xfId="12453" xr:uid="{00000000-0005-0000-0000-0000A5300000}"/>
    <cellStyle name="Normal 14 2 3 2 4" xfId="12454" xr:uid="{00000000-0005-0000-0000-0000A6300000}"/>
    <cellStyle name="Normal 14 2 3 3" xfId="12455" xr:uid="{00000000-0005-0000-0000-0000A7300000}"/>
    <cellStyle name="Normal 14 2 3 3 2" xfId="12456" xr:uid="{00000000-0005-0000-0000-0000A8300000}"/>
    <cellStyle name="Normal 14 2 3 3 2 2" xfId="12457" xr:uid="{00000000-0005-0000-0000-0000A9300000}"/>
    <cellStyle name="Normal 14 2 3 3 3" xfId="12458" xr:uid="{00000000-0005-0000-0000-0000AA300000}"/>
    <cellStyle name="Normal 14 2 3 4" xfId="12459" xr:uid="{00000000-0005-0000-0000-0000AB300000}"/>
    <cellStyle name="Normal 14 2 3 4 2" xfId="12460" xr:uid="{00000000-0005-0000-0000-0000AC300000}"/>
    <cellStyle name="Normal 14 2 3 4 2 2" xfId="12461" xr:uid="{00000000-0005-0000-0000-0000AD300000}"/>
    <cellStyle name="Normal 14 2 3 4 3" xfId="12462" xr:uid="{00000000-0005-0000-0000-0000AE300000}"/>
    <cellStyle name="Normal 14 2 3 5" xfId="12463" xr:uid="{00000000-0005-0000-0000-0000AF300000}"/>
    <cellStyle name="Normal 14 2 3 5 2" xfId="12464" xr:uid="{00000000-0005-0000-0000-0000B0300000}"/>
    <cellStyle name="Normal 14 2 3 5 2 2" xfId="12465" xr:uid="{00000000-0005-0000-0000-0000B1300000}"/>
    <cellStyle name="Normal 14 2 3 5 3" xfId="12466" xr:uid="{00000000-0005-0000-0000-0000B2300000}"/>
    <cellStyle name="Normal 14 2 3 6" xfId="12467" xr:uid="{00000000-0005-0000-0000-0000B3300000}"/>
    <cellStyle name="Normal 14 2 4" xfId="12468" xr:uid="{00000000-0005-0000-0000-0000B4300000}"/>
    <cellStyle name="Normal 14 3" xfId="12469" xr:uid="{00000000-0005-0000-0000-0000B5300000}"/>
    <cellStyle name="Normal 14 3 2" xfId="12470" xr:uid="{00000000-0005-0000-0000-0000B6300000}"/>
    <cellStyle name="Normal 14 3 2 2" xfId="12471" xr:uid="{00000000-0005-0000-0000-0000B7300000}"/>
    <cellStyle name="Normal 14 3 2 2 2" xfId="12472" xr:uid="{00000000-0005-0000-0000-0000B8300000}"/>
    <cellStyle name="Normal 14 3 2 3" xfId="12473" xr:uid="{00000000-0005-0000-0000-0000B9300000}"/>
    <cellStyle name="Normal 14 3 2 3 2" xfId="12474" xr:uid="{00000000-0005-0000-0000-0000BA300000}"/>
    <cellStyle name="Normal 14 3 2 3 2 2" xfId="12475" xr:uid="{00000000-0005-0000-0000-0000BB300000}"/>
    <cellStyle name="Normal 14 3 2 3 3" xfId="12476" xr:uid="{00000000-0005-0000-0000-0000BC300000}"/>
    <cellStyle name="Normal 14 3 2 4" xfId="12477" xr:uid="{00000000-0005-0000-0000-0000BD300000}"/>
    <cellStyle name="Normal 14 3 2 4 2" xfId="12478" xr:uid="{00000000-0005-0000-0000-0000BE300000}"/>
    <cellStyle name="Normal 14 3 2 4 2 2" xfId="12479" xr:uid="{00000000-0005-0000-0000-0000BF300000}"/>
    <cellStyle name="Normal 14 3 2 4 3" xfId="12480" xr:uid="{00000000-0005-0000-0000-0000C0300000}"/>
    <cellStyle name="Normal 14 3 2 5" xfId="12481" xr:uid="{00000000-0005-0000-0000-0000C1300000}"/>
    <cellStyle name="Normal 14 3 3" xfId="12482" xr:uid="{00000000-0005-0000-0000-0000C2300000}"/>
    <cellStyle name="Normal 14 3 3 2" xfId="12483" xr:uid="{00000000-0005-0000-0000-0000C3300000}"/>
    <cellStyle name="Normal 14 3 3 2 2" xfId="12484" xr:uid="{00000000-0005-0000-0000-0000C4300000}"/>
    <cellStyle name="Normal 14 3 3 3" xfId="12485" xr:uid="{00000000-0005-0000-0000-0000C5300000}"/>
    <cellStyle name="Normal 14 3 4" xfId="12486" xr:uid="{00000000-0005-0000-0000-0000C6300000}"/>
    <cellStyle name="Normal 14 3 4 2" xfId="12487" xr:uid="{00000000-0005-0000-0000-0000C7300000}"/>
    <cellStyle name="Normal 14 3 4 2 2" xfId="12488" xr:uid="{00000000-0005-0000-0000-0000C8300000}"/>
    <cellStyle name="Normal 14 3 4 3" xfId="12489" xr:uid="{00000000-0005-0000-0000-0000C9300000}"/>
    <cellStyle name="Normal 14 3 5" xfId="12490" xr:uid="{00000000-0005-0000-0000-0000CA300000}"/>
    <cellStyle name="Normal 14 3 5 2" xfId="12491" xr:uid="{00000000-0005-0000-0000-0000CB300000}"/>
    <cellStyle name="Normal 14 3 5 2 2" xfId="12492" xr:uid="{00000000-0005-0000-0000-0000CC300000}"/>
    <cellStyle name="Normal 14 3 5 3" xfId="12493" xr:uid="{00000000-0005-0000-0000-0000CD300000}"/>
    <cellStyle name="Normal 14 3 6" xfId="12494" xr:uid="{00000000-0005-0000-0000-0000CE300000}"/>
    <cellStyle name="Normal 14 4" xfId="12495" xr:uid="{00000000-0005-0000-0000-0000CF300000}"/>
    <cellStyle name="Normal 14 4 2" xfId="12496" xr:uid="{00000000-0005-0000-0000-0000D0300000}"/>
    <cellStyle name="Normal 14 4 2 2" xfId="12497" xr:uid="{00000000-0005-0000-0000-0000D1300000}"/>
    <cellStyle name="Normal 14 4 3" xfId="12498" xr:uid="{00000000-0005-0000-0000-0000D2300000}"/>
    <cellStyle name="Normal 14 4 3 2" xfId="12499" xr:uid="{00000000-0005-0000-0000-0000D3300000}"/>
    <cellStyle name="Normal 14 4 3 2 2" xfId="12500" xr:uid="{00000000-0005-0000-0000-0000D4300000}"/>
    <cellStyle name="Normal 14 4 3 3" xfId="12501" xr:uid="{00000000-0005-0000-0000-0000D5300000}"/>
    <cellStyle name="Normal 14 4 4" xfId="12502" xr:uid="{00000000-0005-0000-0000-0000D6300000}"/>
    <cellStyle name="Normal 14 4 4 2" xfId="12503" xr:uid="{00000000-0005-0000-0000-0000D7300000}"/>
    <cellStyle name="Normal 14 4 4 2 2" xfId="12504" xr:uid="{00000000-0005-0000-0000-0000D8300000}"/>
    <cellStyle name="Normal 14 4 4 3" xfId="12505" xr:uid="{00000000-0005-0000-0000-0000D9300000}"/>
    <cellStyle name="Normal 14 4 5" xfId="12506" xr:uid="{00000000-0005-0000-0000-0000DA300000}"/>
    <cellStyle name="Normal 14 5" xfId="12507" xr:uid="{00000000-0005-0000-0000-0000DB300000}"/>
    <cellStyle name="Normal 14 5 2" xfId="12508" xr:uid="{00000000-0005-0000-0000-0000DC300000}"/>
    <cellStyle name="Normal 14 5 2 2" xfId="12509" xr:uid="{00000000-0005-0000-0000-0000DD300000}"/>
    <cellStyle name="Normal 14 5 2 2 2" xfId="12510" xr:uid="{00000000-0005-0000-0000-0000DE300000}"/>
    <cellStyle name="Normal 14 5 2 3" xfId="12511" xr:uid="{00000000-0005-0000-0000-0000DF300000}"/>
    <cellStyle name="Normal 14 5 2 3 2" xfId="12512" xr:uid="{00000000-0005-0000-0000-0000E0300000}"/>
    <cellStyle name="Normal 14 5 2 3 2 2" xfId="12513" xr:uid="{00000000-0005-0000-0000-0000E1300000}"/>
    <cellStyle name="Normal 14 5 2 3 3" xfId="12514" xr:uid="{00000000-0005-0000-0000-0000E2300000}"/>
    <cellStyle name="Normal 14 5 2 4" xfId="12515" xr:uid="{00000000-0005-0000-0000-0000E3300000}"/>
    <cellStyle name="Normal 14 5 3" xfId="12516" xr:uid="{00000000-0005-0000-0000-0000E4300000}"/>
    <cellStyle name="Normal 14 5 3 2" xfId="12517" xr:uid="{00000000-0005-0000-0000-0000E5300000}"/>
    <cellStyle name="Normal 14 5 3 2 2" xfId="12518" xr:uid="{00000000-0005-0000-0000-0000E6300000}"/>
    <cellStyle name="Normal 14 5 3 3" xfId="12519" xr:uid="{00000000-0005-0000-0000-0000E7300000}"/>
    <cellStyle name="Normal 14 5 4" xfId="12520" xr:uid="{00000000-0005-0000-0000-0000E8300000}"/>
    <cellStyle name="Normal 14 5 4 2" xfId="12521" xr:uid="{00000000-0005-0000-0000-0000E9300000}"/>
    <cellStyle name="Normal 14 5 4 2 2" xfId="12522" xr:uid="{00000000-0005-0000-0000-0000EA300000}"/>
    <cellStyle name="Normal 14 5 4 3" xfId="12523" xr:uid="{00000000-0005-0000-0000-0000EB300000}"/>
    <cellStyle name="Normal 14 5 5" xfId="12524" xr:uid="{00000000-0005-0000-0000-0000EC300000}"/>
    <cellStyle name="Normal 14 5 5 2" xfId="12525" xr:uid="{00000000-0005-0000-0000-0000ED300000}"/>
    <cellStyle name="Normal 14 5 5 2 2" xfId="12526" xr:uid="{00000000-0005-0000-0000-0000EE300000}"/>
    <cellStyle name="Normal 14 5 5 3" xfId="12527" xr:uid="{00000000-0005-0000-0000-0000EF300000}"/>
    <cellStyle name="Normal 14 5 6" xfId="12528" xr:uid="{00000000-0005-0000-0000-0000F0300000}"/>
    <cellStyle name="Normal 14 6" xfId="12529" xr:uid="{00000000-0005-0000-0000-0000F1300000}"/>
    <cellStyle name="Normal 14 6 2" xfId="12530" xr:uid="{00000000-0005-0000-0000-0000F2300000}"/>
    <cellStyle name="Normal 14 6 2 2" xfId="12531" xr:uid="{00000000-0005-0000-0000-0000F3300000}"/>
    <cellStyle name="Normal 14 6 2 2 2" xfId="12532" xr:uid="{00000000-0005-0000-0000-0000F4300000}"/>
    <cellStyle name="Normal 14 6 2 3" xfId="12533" xr:uid="{00000000-0005-0000-0000-0000F5300000}"/>
    <cellStyle name="Normal 14 6 2 3 2" xfId="12534" xr:uid="{00000000-0005-0000-0000-0000F6300000}"/>
    <cellStyle name="Normal 14 6 2 3 2 2" xfId="12535" xr:uid="{00000000-0005-0000-0000-0000F7300000}"/>
    <cellStyle name="Normal 14 6 2 3 3" xfId="12536" xr:uid="{00000000-0005-0000-0000-0000F8300000}"/>
    <cellStyle name="Normal 14 6 2 4" xfId="12537" xr:uid="{00000000-0005-0000-0000-0000F9300000}"/>
    <cellStyle name="Normal 14 6 3" xfId="12538" xr:uid="{00000000-0005-0000-0000-0000FA300000}"/>
    <cellStyle name="Normal 14 6 3 2" xfId="12539" xr:uid="{00000000-0005-0000-0000-0000FB300000}"/>
    <cellStyle name="Normal 14 6 3 2 2" xfId="12540" xr:uid="{00000000-0005-0000-0000-0000FC300000}"/>
    <cellStyle name="Normal 14 6 3 3" xfId="12541" xr:uid="{00000000-0005-0000-0000-0000FD300000}"/>
    <cellStyle name="Normal 14 6 4" xfId="12542" xr:uid="{00000000-0005-0000-0000-0000FE300000}"/>
    <cellStyle name="Normal 14 6 4 2" xfId="12543" xr:uid="{00000000-0005-0000-0000-0000FF300000}"/>
    <cellStyle name="Normal 14 6 4 2 2" xfId="12544" xr:uid="{00000000-0005-0000-0000-000000310000}"/>
    <cellStyle name="Normal 14 6 4 3" xfId="12545" xr:uid="{00000000-0005-0000-0000-000001310000}"/>
    <cellStyle name="Normal 14 6 5" xfId="12546" xr:uid="{00000000-0005-0000-0000-000002310000}"/>
    <cellStyle name="Normal 14 7" xfId="12547" xr:uid="{00000000-0005-0000-0000-000003310000}"/>
    <cellStyle name="Normal 14 7 2" xfId="12548" xr:uid="{00000000-0005-0000-0000-000004310000}"/>
    <cellStyle name="Normal 14 8" xfId="12549" xr:uid="{00000000-0005-0000-0000-000005310000}"/>
    <cellStyle name="Normal 14 9" xfId="12550" xr:uid="{00000000-0005-0000-0000-000006310000}"/>
    <cellStyle name="Normal 140" xfId="12551" xr:uid="{00000000-0005-0000-0000-000007310000}"/>
    <cellStyle name="Normal 140 2" xfId="12552" xr:uid="{00000000-0005-0000-0000-000008310000}"/>
    <cellStyle name="Normal 140 2 2" xfId="12553" xr:uid="{00000000-0005-0000-0000-000009310000}"/>
    <cellStyle name="Normal 140 2 2 2" xfId="12554" xr:uid="{00000000-0005-0000-0000-00000A310000}"/>
    <cellStyle name="Normal 140 2 3" xfId="12555" xr:uid="{00000000-0005-0000-0000-00000B310000}"/>
    <cellStyle name="Normal 140 2 3 2" xfId="12556" xr:uid="{00000000-0005-0000-0000-00000C310000}"/>
    <cellStyle name="Normal 140 2 3 2 2" xfId="12557" xr:uid="{00000000-0005-0000-0000-00000D310000}"/>
    <cellStyle name="Normal 140 2 3 3" xfId="12558" xr:uid="{00000000-0005-0000-0000-00000E310000}"/>
    <cellStyle name="Normal 140 2 4" xfId="12559" xr:uid="{00000000-0005-0000-0000-00000F310000}"/>
    <cellStyle name="Normal 140 2 4 2" xfId="12560" xr:uid="{00000000-0005-0000-0000-000010310000}"/>
    <cellStyle name="Normal 140 2 4 2 2" xfId="12561" xr:uid="{00000000-0005-0000-0000-000011310000}"/>
    <cellStyle name="Normal 140 2 4 3" xfId="12562" xr:uid="{00000000-0005-0000-0000-000012310000}"/>
    <cellStyle name="Normal 140 2 5" xfId="12563" xr:uid="{00000000-0005-0000-0000-000013310000}"/>
    <cellStyle name="Normal 140 3" xfId="12564" xr:uid="{00000000-0005-0000-0000-000014310000}"/>
    <cellStyle name="Normal 140 3 2" xfId="12565" xr:uid="{00000000-0005-0000-0000-000015310000}"/>
    <cellStyle name="Normal 140 3 2 2" xfId="12566" xr:uid="{00000000-0005-0000-0000-000016310000}"/>
    <cellStyle name="Normal 140 3 2 2 2" xfId="12567" xr:uid="{00000000-0005-0000-0000-000017310000}"/>
    <cellStyle name="Normal 140 3 2 3" xfId="12568" xr:uid="{00000000-0005-0000-0000-000018310000}"/>
    <cellStyle name="Normal 140 3 2 3 2" xfId="12569" xr:uid="{00000000-0005-0000-0000-000019310000}"/>
    <cellStyle name="Normal 140 3 2 3 2 2" xfId="12570" xr:uid="{00000000-0005-0000-0000-00001A310000}"/>
    <cellStyle name="Normal 140 3 2 3 3" xfId="12571" xr:uid="{00000000-0005-0000-0000-00001B310000}"/>
    <cellStyle name="Normal 140 3 2 4" xfId="12572" xr:uid="{00000000-0005-0000-0000-00001C310000}"/>
    <cellStyle name="Normal 140 3 3" xfId="12573" xr:uid="{00000000-0005-0000-0000-00001D310000}"/>
    <cellStyle name="Normal 140 3 3 2" xfId="12574" xr:uid="{00000000-0005-0000-0000-00001E310000}"/>
    <cellStyle name="Normal 140 3 3 2 2" xfId="12575" xr:uid="{00000000-0005-0000-0000-00001F310000}"/>
    <cellStyle name="Normal 140 3 3 3" xfId="12576" xr:uid="{00000000-0005-0000-0000-000020310000}"/>
    <cellStyle name="Normal 140 3 4" xfId="12577" xr:uid="{00000000-0005-0000-0000-000021310000}"/>
    <cellStyle name="Normal 140 3 4 2" xfId="12578" xr:uid="{00000000-0005-0000-0000-000022310000}"/>
    <cellStyle name="Normal 140 3 4 2 2" xfId="12579" xr:uid="{00000000-0005-0000-0000-000023310000}"/>
    <cellStyle name="Normal 140 3 4 3" xfId="12580" xr:uid="{00000000-0005-0000-0000-000024310000}"/>
    <cellStyle name="Normal 140 3 5" xfId="12581" xr:uid="{00000000-0005-0000-0000-000025310000}"/>
    <cellStyle name="Normal 140 3 5 2" xfId="12582" xr:uid="{00000000-0005-0000-0000-000026310000}"/>
    <cellStyle name="Normal 140 3 5 2 2" xfId="12583" xr:uid="{00000000-0005-0000-0000-000027310000}"/>
    <cellStyle name="Normal 140 3 5 3" xfId="12584" xr:uid="{00000000-0005-0000-0000-000028310000}"/>
    <cellStyle name="Normal 140 3 6" xfId="12585" xr:uid="{00000000-0005-0000-0000-000029310000}"/>
    <cellStyle name="Normal 140 4" xfId="12586" xr:uid="{00000000-0005-0000-0000-00002A310000}"/>
    <cellStyle name="Normal 140 4 2" xfId="12587" xr:uid="{00000000-0005-0000-0000-00002B310000}"/>
    <cellStyle name="Normal 140 4 2 2" xfId="12588" xr:uid="{00000000-0005-0000-0000-00002C310000}"/>
    <cellStyle name="Normal 140 4 3" xfId="12589" xr:uid="{00000000-0005-0000-0000-00002D310000}"/>
    <cellStyle name="Normal 140 5" xfId="12590" xr:uid="{00000000-0005-0000-0000-00002E310000}"/>
    <cellStyle name="Normal 140 5 2" xfId="12591" xr:uid="{00000000-0005-0000-0000-00002F310000}"/>
    <cellStyle name="Normal 140 5 2 2" xfId="12592" xr:uid="{00000000-0005-0000-0000-000030310000}"/>
    <cellStyle name="Normal 140 5 3" xfId="12593" xr:uid="{00000000-0005-0000-0000-000031310000}"/>
    <cellStyle name="Normal 140 6" xfId="12594" xr:uid="{00000000-0005-0000-0000-000032310000}"/>
    <cellStyle name="Normal 140 6 2" xfId="12595" xr:uid="{00000000-0005-0000-0000-000033310000}"/>
    <cellStyle name="Normal 140 6 2 2" xfId="12596" xr:uid="{00000000-0005-0000-0000-000034310000}"/>
    <cellStyle name="Normal 140 6 3" xfId="12597" xr:uid="{00000000-0005-0000-0000-000035310000}"/>
    <cellStyle name="Normal 140 7" xfId="12598" xr:uid="{00000000-0005-0000-0000-000036310000}"/>
    <cellStyle name="Normal 141" xfId="12599" xr:uid="{00000000-0005-0000-0000-000037310000}"/>
    <cellStyle name="Normal 141 2" xfId="12600" xr:uid="{00000000-0005-0000-0000-000038310000}"/>
    <cellStyle name="Normal 141 2 2" xfId="12601" xr:uid="{00000000-0005-0000-0000-000039310000}"/>
    <cellStyle name="Normal 141 2 2 2" xfId="12602" xr:uid="{00000000-0005-0000-0000-00003A310000}"/>
    <cellStyle name="Normal 141 2 3" xfId="12603" xr:uid="{00000000-0005-0000-0000-00003B310000}"/>
    <cellStyle name="Normal 141 2 3 2" xfId="12604" xr:uid="{00000000-0005-0000-0000-00003C310000}"/>
    <cellStyle name="Normal 141 2 3 2 2" xfId="12605" xr:uid="{00000000-0005-0000-0000-00003D310000}"/>
    <cellStyle name="Normal 141 2 3 3" xfId="12606" xr:uid="{00000000-0005-0000-0000-00003E310000}"/>
    <cellStyle name="Normal 141 2 4" xfId="12607" xr:uid="{00000000-0005-0000-0000-00003F310000}"/>
    <cellStyle name="Normal 141 2 4 2" xfId="12608" xr:uid="{00000000-0005-0000-0000-000040310000}"/>
    <cellStyle name="Normal 141 2 4 2 2" xfId="12609" xr:uid="{00000000-0005-0000-0000-000041310000}"/>
    <cellStyle name="Normal 141 2 4 3" xfId="12610" xr:uid="{00000000-0005-0000-0000-000042310000}"/>
    <cellStyle name="Normal 141 2 5" xfId="12611" xr:uid="{00000000-0005-0000-0000-000043310000}"/>
    <cellStyle name="Normal 141 3" xfId="12612" xr:uid="{00000000-0005-0000-0000-000044310000}"/>
    <cellStyle name="Normal 141 3 2" xfId="12613" xr:uid="{00000000-0005-0000-0000-000045310000}"/>
    <cellStyle name="Normal 141 3 2 2" xfId="12614" xr:uid="{00000000-0005-0000-0000-000046310000}"/>
    <cellStyle name="Normal 141 3 2 2 2" xfId="12615" xr:uid="{00000000-0005-0000-0000-000047310000}"/>
    <cellStyle name="Normal 141 3 2 3" xfId="12616" xr:uid="{00000000-0005-0000-0000-000048310000}"/>
    <cellStyle name="Normal 141 3 2 3 2" xfId="12617" xr:uid="{00000000-0005-0000-0000-000049310000}"/>
    <cellStyle name="Normal 141 3 2 3 2 2" xfId="12618" xr:uid="{00000000-0005-0000-0000-00004A310000}"/>
    <cellStyle name="Normal 141 3 2 3 3" xfId="12619" xr:uid="{00000000-0005-0000-0000-00004B310000}"/>
    <cellStyle name="Normal 141 3 2 4" xfId="12620" xr:uid="{00000000-0005-0000-0000-00004C310000}"/>
    <cellStyle name="Normal 141 3 3" xfId="12621" xr:uid="{00000000-0005-0000-0000-00004D310000}"/>
    <cellStyle name="Normal 141 3 3 2" xfId="12622" xr:uid="{00000000-0005-0000-0000-00004E310000}"/>
    <cellStyle name="Normal 141 3 3 2 2" xfId="12623" xr:uid="{00000000-0005-0000-0000-00004F310000}"/>
    <cellStyle name="Normal 141 3 3 3" xfId="12624" xr:uid="{00000000-0005-0000-0000-000050310000}"/>
    <cellStyle name="Normal 141 3 4" xfId="12625" xr:uid="{00000000-0005-0000-0000-000051310000}"/>
    <cellStyle name="Normal 141 3 4 2" xfId="12626" xr:uid="{00000000-0005-0000-0000-000052310000}"/>
    <cellStyle name="Normal 141 3 4 2 2" xfId="12627" xr:uid="{00000000-0005-0000-0000-000053310000}"/>
    <cellStyle name="Normal 141 3 4 3" xfId="12628" xr:uid="{00000000-0005-0000-0000-000054310000}"/>
    <cellStyle name="Normal 141 3 5" xfId="12629" xr:uid="{00000000-0005-0000-0000-000055310000}"/>
    <cellStyle name="Normal 141 3 5 2" xfId="12630" xr:uid="{00000000-0005-0000-0000-000056310000}"/>
    <cellStyle name="Normal 141 3 5 2 2" xfId="12631" xr:uid="{00000000-0005-0000-0000-000057310000}"/>
    <cellStyle name="Normal 141 3 5 3" xfId="12632" xr:uid="{00000000-0005-0000-0000-000058310000}"/>
    <cellStyle name="Normal 141 3 6" xfId="12633" xr:uid="{00000000-0005-0000-0000-000059310000}"/>
    <cellStyle name="Normal 141 4" xfId="12634" xr:uid="{00000000-0005-0000-0000-00005A310000}"/>
    <cellStyle name="Normal 141 4 2" xfId="12635" xr:uid="{00000000-0005-0000-0000-00005B310000}"/>
    <cellStyle name="Normal 141 4 2 2" xfId="12636" xr:uid="{00000000-0005-0000-0000-00005C310000}"/>
    <cellStyle name="Normal 141 4 3" xfId="12637" xr:uid="{00000000-0005-0000-0000-00005D310000}"/>
    <cellStyle name="Normal 141 5" xfId="12638" xr:uid="{00000000-0005-0000-0000-00005E310000}"/>
    <cellStyle name="Normal 141 5 2" xfId="12639" xr:uid="{00000000-0005-0000-0000-00005F310000}"/>
    <cellStyle name="Normal 141 5 2 2" xfId="12640" xr:uid="{00000000-0005-0000-0000-000060310000}"/>
    <cellStyle name="Normal 141 5 3" xfId="12641" xr:uid="{00000000-0005-0000-0000-000061310000}"/>
    <cellStyle name="Normal 141 6" xfId="12642" xr:uid="{00000000-0005-0000-0000-000062310000}"/>
    <cellStyle name="Normal 141 6 2" xfId="12643" xr:uid="{00000000-0005-0000-0000-000063310000}"/>
    <cellStyle name="Normal 141 6 2 2" xfId="12644" xr:uid="{00000000-0005-0000-0000-000064310000}"/>
    <cellStyle name="Normal 141 6 3" xfId="12645" xr:uid="{00000000-0005-0000-0000-000065310000}"/>
    <cellStyle name="Normal 141 7" xfId="12646" xr:uid="{00000000-0005-0000-0000-000066310000}"/>
    <cellStyle name="Normal 142" xfId="12647" xr:uid="{00000000-0005-0000-0000-000067310000}"/>
    <cellStyle name="Normal 142 2" xfId="12648" xr:uid="{00000000-0005-0000-0000-000068310000}"/>
    <cellStyle name="Normal 142 2 2" xfId="12649" xr:uid="{00000000-0005-0000-0000-000069310000}"/>
    <cellStyle name="Normal 142 2 2 2" xfId="12650" xr:uid="{00000000-0005-0000-0000-00006A310000}"/>
    <cellStyle name="Normal 142 2 3" xfId="12651" xr:uid="{00000000-0005-0000-0000-00006B310000}"/>
    <cellStyle name="Normal 142 2 3 2" xfId="12652" xr:uid="{00000000-0005-0000-0000-00006C310000}"/>
    <cellStyle name="Normal 142 2 3 2 2" xfId="12653" xr:uid="{00000000-0005-0000-0000-00006D310000}"/>
    <cellStyle name="Normal 142 2 3 3" xfId="12654" xr:uid="{00000000-0005-0000-0000-00006E310000}"/>
    <cellStyle name="Normal 142 2 4" xfId="12655" xr:uid="{00000000-0005-0000-0000-00006F310000}"/>
    <cellStyle name="Normal 142 2 4 2" xfId="12656" xr:uid="{00000000-0005-0000-0000-000070310000}"/>
    <cellStyle name="Normal 142 2 4 2 2" xfId="12657" xr:uid="{00000000-0005-0000-0000-000071310000}"/>
    <cellStyle name="Normal 142 2 4 3" xfId="12658" xr:uid="{00000000-0005-0000-0000-000072310000}"/>
    <cellStyle name="Normal 142 2 5" xfId="12659" xr:uid="{00000000-0005-0000-0000-000073310000}"/>
    <cellStyle name="Normal 142 3" xfId="12660" xr:uid="{00000000-0005-0000-0000-000074310000}"/>
    <cellStyle name="Normal 142 3 2" xfId="12661" xr:uid="{00000000-0005-0000-0000-000075310000}"/>
    <cellStyle name="Normal 142 3 2 2" xfId="12662" xr:uid="{00000000-0005-0000-0000-000076310000}"/>
    <cellStyle name="Normal 142 3 2 2 2" xfId="12663" xr:uid="{00000000-0005-0000-0000-000077310000}"/>
    <cellStyle name="Normal 142 3 2 3" xfId="12664" xr:uid="{00000000-0005-0000-0000-000078310000}"/>
    <cellStyle name="Normal 142 3 2 3 2" xfId="12665" xr:uid="{00000000-0005-0000-0000-000079310000}"/>
    <cellStyle name="Normal 142 3 2 3 2 2" xfId="12666" xr:uid="{00000000-0005-0000-0000-00007A310000}"/>
    <cellStyle name="Normal 142 3 2 3 3" xfId="12667" xr:uid="{00000000-0005-0000-0000-00007B310000}"/>
    <cellStyle name="Normal 142 3 2 4" xfId="12668" xr:uid="{00000000-0005-0000-0000-00007C310000}"/>
    <cellStyle name="Normal 142 3 3" xfId="12669" xr:uid="{00000000-0005-0000-0000-00007D310000}"/>
    <cellStyle name="Normal 142 3 3 2" xfId="12670" xr:uid="{00000000-0005-0000-0000-00007E310000}"/>
    <cellStyle name="Normal 142 3 3 2 2" xfId="12671" xr:uid="{00000000-0005-0000-0000-00007F310000}"/>
    <cellStyle name="Normal 142 3 3 3" xfId="12672" xr:uid="{00000000-0005-0000-0000-000080310000}"/>
    <cellStyle name="Normal 142 3 4" xfId="12673" xr:uid="{00000000-0005-0000-0000-000081310000}"/>
    <cellStyle name="Normal 142 3 4 2" xfId="12674" xr:uid="{00000000-0005-0000-0000-000082310000}"/>
    <cellStyle name="Normal 142 3 4 2 2" xfId="12675" xr:uid="{00000000-0005-0000-0000-000083310000}"/>
    <cellStyle name="Normal 142 3 4 3" xfId="12676" xr:uid="{00000000-0005-0000-0000-000084310000}"/>
    <cellStyle name="Normal 142 3 5" xfId="12677" xr:uid="{00000000-0005-0000-0000-000085310000}"/>
    <cellStyle name="Normal 142 3 5 2" xfId="12678" xr:uid="{00000000-0005-0000-0000-000086310000}"/>
    <cellStyle name="Normal 142 3 5 2 2" xfId="12679" xr:uid="{00000000-0005-0000-0000-000087310000}"/>
    <cellStyle name="Normal 142 3 5 3" xfId="12680" xr:uid="{00000000-0005-0000-0000-000088310000}"/>
    <cellStyle name="Normal 142 3 6" xfId="12681" xr:uid="{00000000-0005-0000-0000-000089310000}"/>
    <cellStyle name="Normal 142 4" xfId="12682" xr:uid="{00000000-0005-0000-0000-00008A310000}"/>
    <cellStyle name="Normal 142 4 2" xfId="12683" xr:uid="{00000000-0005-0000-0000-00008B310000}"/>
    <cellStyle name="Normal 142 4 2 2" xfId="12684" xr:uid="{00000000-0005-0000-0000-00008C310000}"/>
    <cellStyle name="Normal 142 4 3" xfId="12685" xr:uid="{00000000-0005-0000-0000-00008D310000}"/>
    <cellStyle name="Normal 142 5" xfId="12686" xr:uid="{00000000-0005-0000-0000-00008E310000}"/>
    <cellStyle name="Normal 142 5 2" xfId="12687" xr:uid="{00000000-0005-0000-0000-00008F310000}"/>
    <cellStyle name="Normal 142 5 2 2" xfId="12688" xr:uid="{00000000-0005-0000-0000-000090310000}"/>
    <cellStyle name="Normal 142 5 3" xfId="12689" xr:uid="{00000000-0005-0000-0000-000091310000}"/>
    <cellStyle name="Normal 142 6" xfId="12690" xr:uid="{00000000-0005-0000-0000-000092310000}"/>
    <cellStyle name="Normal 142 6 2" xfId="12691" xr:uid="{00000000-0005-0000-0000-000093310000}"/>
    <cellStyle name="Normal 142 6 2 2" xfId="12692" xr:uid="{00000000-0005-0000-0000-000094310000}"/>
    <cellStyle name="Normal 142 6 3" xfId="12693" xr:uid="{00000000-0005-0000-0000-000095310000}"/>
    <cellStyle name="Normal 142 7" xfId="12694" xr:uid="{00000000-0005-0000-0000-000096310000}"/>
    <cellStyle name="Normal 143" xfId="12695" xr:uid="{00000000-0005-0000-0000-000097310000}"/>
    <cellStyle name="Normal 143 2" xfId="12696" xr:uid="{00000000-0005-0000-0000-000098310000}"/>
    <cellStyle name="Normal 143 2 2" xfId="12697" xr:uid="{00000000-0005-0000-0000-000099310000}"/>
    <cellStyle name="Normal 143 2 2 2" xfId="12698" xr:uid="{00000000-0005-0000-0000-00009A310000}"/>
    <cellStyle name="Normal 143 2 3" xfId="12699" xr:uid="{00000000-0005-0000-0000-00009B310000}"/>
    <cellStyle name="Normal 143 2 3 2" xfId="12700" xr:uid="{00000000-0005-0000-0000-00009C310000}"/>
    <cellStyle name="Normal 143 2 3 2 2" xfId="12701" xr:uid="{00000000-0005-0000-0000-00009D310000}"/>
    <cellStyle name="Normal 143 2 3 3" xfId="12702" xr:uid="{00000000-0005-0000-0000-00009E310000}"/>
    <cellStyle name="Normal 143 2 4" xfId="12703" xr:uid="{00000000-0005-0000-0000-00009F310000}"/>
    <cellStyle name="Normal 143 2 4 2" xfId="12704" xr:uid="{00000000-0005-0000-0000-0000A0310000}"/>
    <cellStyle name="Normal 143 2 4 2 2" xfId="12705" xr:uid="{00000000-0005-0000-0000-0000A1310000}"/>
    <cellStyle name="Normal 143 2 4 3" xfId="12706" xr:uid="{00000000-0005-0000-0000-0000A2310000}"/>
    <cellStyle name="Normal 143 2 5" xfId="12707" xr:uid="{00000000-0005-0000-0000-0000A3310000}"/>
    <cellStyle name="Normal 143 3" xfId="12708" xr:uid="{00000000-0005-0000-0000-0000A4310000}"/>
    <cellStyle name="Normal 143 3 2" xfId="12709" xr:uid="{00000000-0005-0000-0000-0000A5310000}"/>
    <cellStyle name="Normal 143 3 2 2" xfId="12710" xr:uid="{00000000-0005-0000-0000-0000A6310000}"/>
    <cellStyle name="Normal 143 3 2 2 2" xfId="12711" xr:uid="{00000000-0005-0000-0000-0000A7310000}"/>
    <cellStyle name="Normal 143 3 2 3" xfId="12712" xr:uid="{00000000-0005-0000-0000-0000A8310000}"/>
    <cellStyle name="Normal 143 3 2 3 2" xfId="12713" xr:uid="{00000000-0005-0000-0000-0000A9310000}"/>
    <cellStyle name="Normal 143 3 2 3 2 2" xfId="12714" xr:uid="{00000000-0005-0000-0000-0000AA310000}"/>
    <cellStyle name="Normal 143 3 2 3 3" xfId="12715" xr:uid="{00000000-0005-0000-0000-0000AB310000}"/>
    <cellStyle name="Normal 143 3 2 4" xfId="12716" xr:uid="{00000000-0005-0000-0000-0000AC310000}"/>
    <cellStyle name="Normal 143 3 3" xfId="12717" xr:uid="{00000000-0005-0000-0000-0000AD310000}"/>
    <cellStyle name="Normal 143 3 3 2" xfId="12718" xr:uid="{00000000-0005-0000-0000-0000AE310000}"/>
    <cellStyle name="Normal 143 3 3 2 2" xfId="12719" xr:uid="{00000000-0005-0000-0000-0000AF310000}"/>
    <cellStyle name="Normal 143 3 3 3" xfId="12720" xr:uid="{00000000-0005-0000-0000-0000B0310000}"/>
    <cellStyle name="Normal 143 3 4" xfId="12721" xr:uid="{00000000-0005-0000-0000-0000B1310000}"/>
    <cellStyle name="Normal 143 3 4 2" xfId="12722" xr:uid="{00000000-0005-0000-0000-0000B2310000}"/>
    <cellStyle name="Normal 143 3 4 2 2" xfId="12723" xr:uid="{00000000-0005-0000-0000-0000B3310000}"/>
    <cellStyle name="Normal 143 3 4 3" xfId="12724" xr:uid="{00000000-0005-0000-0000-0000B4310000}"/>
    <cellStyle name="Normal 143 3 5" xfId="12725" xr:uid="{00000000-0005-0000-0000-0000B5310000}"/>
    <cellStyle name="Normal 143 3 5 2" xfId="12726" xr:uid="{00000000-0005-0000-0000-0000B6310000}"/>
    <cellStyle name="Normal 143 3 5 2 2" xfId="12727" xr:uid="{00000000-0005-0000-0000-0000B7310000}"/>
    <cellStyle name="Normal 143 3 5 3" xfId="12728" xr:uid="{00000000-0005-0000-0000-0000B8310000}"/>
    <cellStyle name="Normal 143 3 6" xfId="12729" xr:uid="{00000000-0005-0000-0000-0000B9310000}"/>
    <cellStyle name="Normal 143 4" xfId="12730" xr:uid="{00000000-0005-0000-0000-0000BA310000}"/>
    <cellStyle name="Normal 143 4 2" xfId="12731" xr:uid="{00000000-0005-0000-0000-0000BB310000}"/>
    <cellStyle name="Normal 143 4 2 2" xfId="12732" xr:uid="{00000000-0005-0000-0000-0000BC310000}"/>
    <cellStyle name="Normal 143 4 3" xfId="12733" xr:uid="{00000000-0005-0000-0000-0000BD310000}"/>
    <cellStyle name="Normal 143 5" xfId="12734" xr:uid="{00000000-0005-0000-0000-0000BE310000}"/>
    <cellStyle name="Normal 143 5 2" xfId="12735" xr:uid="{00000000-0005-0000-0000-0000BF310000}"/>
    <cellStyle name="Normal 143 5 2 2" xfId="12736" xr:uid="{00000000-0005-0000-0000-0000C0310000}"/>
    <cellStyle name="Normal 143 5 3" xfId="12737" xr:uid="{00000000-0005-0000-0000-0000C1310000}"/>
    <cellStyle name="Normal 143 6" xfId="12738" xr:uid="{00000000-0005-0000-0000-0000C2310000}"/>
    <cellStyle name="Normal 143 6 2" xfId="12739" xr:uid="{00000000-0005-0000-0000-0000C3310000}"/>
    <cellStyle name="Normal 143 6 2 2" xfId="12740" xr:uid="{00000000-0005-0000-0000-0000C4310000}"/>
    <cellStyle name="Normal 143 6 3" xfId="12741" xr:uid="{00000000-0005-0000-0000-0000C5310000}"/>
    <cellStyle name="Normal 143 7" xfId="12742" xr:uid="{00000000-0005-0000-0000-0000C6310000}"/>
    <cellStyle name="Normal 144" xfId="12743" xr:uid="{00000000-0005-0000-0000-0000C7310000}"/>
    <cellStyle name="Normal 144 2" xfId="12744" xr:uid="{00000000-0005-0000-0000-0000C8310000}"/>
    <cellStyle name="Normal 144 2 2" xfId="12745" xr:uid="{00000000-0005-0000-0000-0000C9310000}"/>
    <cellStyle name="Normal 144 2 2 2" xfId="12746" xr:uid="{00000000-0005-0000-0000-0000CA310000}"/>
    <cellStyle name="Normal 144 2 3" xfId="12747" xr:uid="{00000000-0005-0000-0000-0000CB310000}"/>
    <cellStyle name="Normal 144 2 3 2" xfId="12748" xr:uid="{00000000-0005-0000-0000-0000CC310000}"/>
    <cellStyle name="Normal 144 2 3 2 2" xfId="12749" xr:uid="{00000000-0005-0000-0000-0000CD310000}"/>
    <cellStyle name="Normal 144 2 3 3" xfId="12750" xr:uid="{00000000-0005-0000-0000-0000CE310000}"/>
    <cellStyle name="Normal 144 2 4" xfId="12751" xr:uid="{00000000-0005-0000-0000-0000CF310000}"/>
    <cellStyle name="Normal 144 2 4 2" xfId="12752" xr:uid="{00000000-0005-0000-0000-0000D0310000}"/>
    <cellStyle name="Normal 144 2 4 2 2" xfId="12753" xr:uid="{00000000-0005-0000-0000-0000D1310000}"/>
    <cellStyle name="Normal 144 2 4 3" xfId="12754" xr:uid="{00000000-0005-0000-0000-0000D2310000}"/>
    <cellStyle name="Normal 144 2 5" xfId="12755" xr:uid="{00000000-0005-0000-0000-0000D3310000}"/>
    <cellStyle name="Normal 144 3" xfId="12756" xr:uid="{00000000-0005-0000-0000-0000D4310000}"/>
    <cellStyle name="Normal 144 3 2" xfId="12757" xr:uid="{00000000-0005-0000-0000-0000D5310000}"/>
    <cellStyle name="Normal 144 3 2 2" xfId="12758" xr:uid="{00000000-0005-0000-0000-0000D6310000}"/>
    <cellStyle name="Normal 144 3 2 2 2" xfId="12759" xr:uid="{00000000-0005-0000-0000-0000D7310000}"/>
    <cellStyle name="Normal 144 3 2 3" xfId="12760" xr:uid="{00000000-0005-0000-0000-0000D8310000}"/>
    <cellStyle name="Normal 144 3 2 3 2" xfId="12761" xr:uid="{00000000-0005-0000-0000-0000D9310000}"/>
    <cellStyle name="Normal 144 3 2 3 2 2" xfId="12762" xr:uid="{00000000-0005-0000-0000-0000DA310000}"/>
    <cellStyle name="Normal 144 3 2 3 3" xfId="12763" xr:uid="{00000000-0005-0000-0000-0000DB310000}"/>
    <cellStyle name="Normal 144 3 2 4" xfId="12764" xr:uid="{00000000-0005-0000-0000-0000DC310000}"/>
    <cellStyle name="Normal 144 3 3" xfId="12765" xr:uid="{00000000-0005-0000-0000-0000DD310000}"/>
    <cellStyle name="Normal 144 3 3 2" xfId="12766" xr:uid="{00000000-0005-0000-0000-0000DE310000}"/>
    <cellStyle name="Normal 144 3 3 2 2" xfId="12767" xr:uid="{00000000-0005-0000-0000-0000DF310000}"/>
    <cellStyle name="Normal 144 3 3 3" xfId="12768" xr:uid="{00000000-0005-0000-0000-0000E0310000}"/>
    <cellStyle name="Normal 144 3 4" xfId="12769" xr:uid="{00000000-0005-0000-0000-0000E1310000}"/>
    <cellStyle name="Normal 144 3 4 2" xfId="12770" xr:uid="{00000000-0005-0000-0000-0000E2310000}"/>
    <cellStyle name="Normal 144 3 4 2 2" xfId="12771" xr:uid="{00000000-0005-0000-0000-0000E3310000}"/>
    <cellStyle name="Normal 144 3 4 3" xfId="12772" xr:uid="{00000000-0005-0000-0000-0000E4310000}"/>
    <cellStyle name="Normal 144 3 5" xfId="12773" xr:uid="{00000000-0005-0000-0000-0000E5310000}"/>
    <cellStyle name="Normal 144 3 5 2" xfId="12774" xr:uid="{00000000-0005-0000-0000-0000E6310000}"/>
    <cellStyle name="Normal 144 3 5 2 2" xfId="12775" xr:uid="{00000000-0005-0000-0000-0000E7310000}"/>
    <cellStyle name="Normal 144 3 5 3" xfId="12776" xr:uid="{00000000-0005-0000-0000-0000E8310000}"/>
    <cellStyle name="Normal 144 3 6" xfId="12777" xr:uid="{00000000-0005-0000-0000-0000E9310000}"/>
    <cellStyle name="Normal 144 4" xfId="12778" xr:uid="{00000000-0005-0000-0000-0000EA310000}"/>
    <cellStyle name="Normal 144 4 2" xfId="12779" xr:uid="{00000000-0005-0000-0000-0000EB310000}"/>
    <cellStyle name="Normal 144 4 2 2" xfId="12780" xr:uid="{00000000-0005-0000-0000-0000EC310000}"/>
    <cellStyle name="Normal 144 4 3" xfId="12781" xr:uid="{00000000-0005-0000-0000-0000ED310000}"/>
    <cellStyle name="Normal 144 5" xfId="12782" xr:uid="{00000000-0005-0000-0000-0000EE310000}"/>
    <cellStyle name="Normal 144 5 2" xfId="12783" xr:uid="{00000000-0005-0000-0000-0000EF310000}"/>
    <cellStyle name="Normal 144 5 2 2" xfId="12784" xr:uid="{00000000-0005-0000-0000-0000F0310000}"/>
    <cellStyle name="Normal 144 5 3" xfId="12785" xr:uid="{00000000-0005-0000-0000-0000F1310000}"/>
    <cellStyle name="Normal 144 6" xfId="12786" xr:uid="{00000000-0005-0000-0000-0000F2310000}"/>
    <cellStyle name="Normal 144 6 2" xfId="12787" xr:uid="{00000000-0005-0000-0000-0000F3310000}"/>
    <cellStyle name="Normal 144 6 2 2" xfId="12788" xr:uid="{00000000-0005-0000-0000-0000F4310000}"/>
    <cellStyle name="Normal 144 6 3" xfId="12789" xr:uid="{00000000-0005-0000-0000-0000F5310000}"/>
    <cellStyle name="Normal 144 7" xfId="12790" xr:uid="{00000000-0005-0000-0000-0000F6310000}"/>
    <cellStyle name="Normal 145" xfId="12791" xr:uid="{00000000-0005-0000-0000-0000F7310000}"/>
    <cellStyle name="Normal 145 2" xfId="12792" xr:uid="{00000000-0005-0000-0000-0000F8310000}"/>
    <cellStyle name="Normal 145 2 2" xfId="12793" xr:uid="{00000000-0005-0000-0000-0000F9310000}"/>
    <cellStyle name="Normal 145 2 2 2" xfId="12794" xr:uid="{00000000-0005-0000-0000-0000FA310000}"/>
    <cellStyle name="Normal 145 2 3" xfId="12795" xr:uid="{00000000-0005-0000-0000-0000FB310000}"/>
    <cellStyle name="Normal 145 2 3 2" xfId="12796" xr:uid="{00000000-0005-0000-0000-0000FC310000}"/>
    <cellStyle name="Normal 145 2 3 2 2" xfId="12797" xr:uid="{00000000-0005-0000-0000-0000FD310000}"/>
    <cellStyle name="Normal 145 2 3 3" xfId="12798" xr:uid="{00000000-0005-0000-0000-0000FE310000}"/>
    <cellStyle name="Normal 145 2 4" xfId="12799" xr:uid="{00000000-0005-0000-0000-0000FF310000}"/>
    <cellStyle name="Normal 145 2 4 2" xfId="12800" xr:uid="{00000000-0005-0000-0000-000000320000}"/>
    <cellStyle name="Normal 145 2 4 2 2" xfId="12801" xr:uid="{00000000-0005-0000-0000-000001320000}"/>
    <cellStyle name="Normal 145 2 4 3" xfId="12802" xr:uid="{00000000-0005-0000-0000-000002320000}"/>
    <cellStyle name="Normal 145 2 5" xfId="12803" xr:uid="{00000000-0005-0000-0000-000003320000}"/>
    <cellStyle name="Normal 145 3" xfId="12804" xr:uid="{00000000-0005-0000-0000-000004320000}"/>
    <cellStyle name="Normal 145 3 2" xfId="12805" xr:uid="{00000000-0005-0000-0000-000005320000}"/>
    <cellStyle name="Normal 145 3 2 2" xfId="12806" xr:uid="{00000000-0005-0000-0000-000006320000}"/>
    <cellStyle name="Normal 145 3 2 2 2" xfId="12807" xr:uid="{00000000-0005-0000-0000-000007320000}"/>
    <cellStyle name="Normal 145 3 2 3" xfId="12808" xr:uid="{00000000-0005-0000-0000-000008320000}"/>
    <cellStyle name="Normal 145 3 2 3 2" xfId="12809" xr:uid="{00000000-0005-0000-0000-000009320000}"/>
    <cellStyle name="Normal 145 3 2 3 2 2" xfId="12810" xr:uid="{00000000-0005-0000-0000-00000A320000}"/>
    <cellStyle name="Normal 145 3 2 3 3" xfId="12811" xr:uid="{00000000-0005-0000-0000-00000B320000}"/>
    <cellStyle name="Normal 145 3 2 4" xfId="12812" xr:uid="{00000000-0005-0000-0000-00000C320000}"/>
    <cellStyle name="Normal 145 3 3" xfId="12813" xr:uid="{00000000-0005-0000-0000-00000D320000}"/>
    <cellStyle name="Normal 145 3 3 2" xfId="12814" xr:uid="{00000000-0005-0000-0000-00000E320000}"/>
    <cellStyle name="Normal 145 3 3 2 2" xfId="12815" xr:uid="{00000000-0005-0000-0000-00000F320000}"/>
    <cellStyle name="Normal 145 3 3 3" xfId="12816" xr:uid="{00000000-0005-0000-0000-000010320000}"/>
    <cellStyle name="Normal 145 3 4" xfId="12817" xr:uid="{00000000-0005-0000-0000-000011320000}"/>
    <cellStyle name="Normal 145 3 4 2" xfId="12818" xr:uid="{00000000-0005-0000-0000-000012320000}"/>
    <cellStyle name="Normal 145 3 4 2 2" xfId="12819" xr:uid="{00000000-0005-0000-0000-000013320000}"/>
    <cellStyle name="Normal 145 3 4 3" xfId="12820" xr:uid="{00000000-0005-0000-0000-000014320000}"/>
    <cellStyle name="Normal 145 3 5" xfId="12821" xr:uid="{00000000-0005-0000-0000-000015320000}"/>
    <cellStyle name="Normal 145 3 5 2" xfId="12822" xr:uid="{00000000-0005-0000-0000-000016320000}"/>
    <cellStyle name="Normal 145 3 5 2 2" xfId="12823" xr:uid="{00000000-0005-0000-0000-000017320000}"/>
    <cellStyle name="Normal 145 3 5 3" xfId="12824" xr:uid="{00000000-0005-0000-0000-000018320000}"/>
    <cellStyle name="Normal 145 3 6" xfId="12825" xr:uid="{00000000-0005-0000-0000-000019320000}"/>
    <cellStyle name="Normal 145 4" xfId="12826" xr:uid="{00000000-0005-0000-0000-00001A320000}"/>
    <cellStyle name="Normal 145 4 2" xfId="12827" xr:uid="{00000000-0005-0000-0000-00001B320000}"/>
    <cellStyle name="Normal 145 4 2 2" xfId="12828" xr:uid="{00000000-0005-0000-0000-00001C320000}"/>
    <cellStyle name="Normal 145 4 3" xfId="12829" xr:uid="{00000000-0005-0000-0000-00001D320000}"/>
    <cellStyle name="Normal 145 5" xfId="12830" xr:uid="{00000000-0005-0000-0000-00001E320000}"/>
    <cellStyle name="Normal 145 5 2" xfId="12831" xr:uid="{00000000-0005-0000-0000-00001F320000}"/>
    <cellStyle name="Normal 145 5 2 2" xfId="12832" xr:uid="{00000000-0005-0000-0000-000020320000}"/>
    <cellStyle name="Normal 145 5 3" xfId="12833" xr:uid="{00000000-0005-0000-0000-000021320000}"/>
    <cellStyle name="Normal 145 6" xfId="12834" xr:uid="{00000000-0005-0000-0000-000022320000}"/>
    <cellStyle name="Normal 145 6 2" xfId="12835" xr:uid="{00000000-0005-0000-0000-000023320000}"/>
    <cellStyle name="Normal 145 6 2 2" xfId="12836" xr:uid="{00000000-0005-0000-0000-000024320000}"/>
    <cellStyle name="Normal 145 6 3" xfId="12837" xr:uid="{00000000-0005-0000-0000-000025320000}"/>
    <cellStyle name="Normal 145 7" xfId="12838" xr:uid="{00000000-0005-0000-0000-000026320000}"/>
    <cellStyle name="Normal 146" xfId="12839" xr:uid="{00000000-0005-0000-0000-000027320000}"/>
    <cellStyle name="Normal 146 2" xfId="12840" xr:uid="{00000000-0005-0000-0000-000028320000}"/>
    <cellStyle name="Normal 146 2 2" xfId="12841" xr:uid="{00000000-0005-0000-0000-000029320000}"/>
    <cellStyle name="Normal 146 2 2 2" xfId="12842" xr:uid="{00000000-0005-0000-0000-00002A320000}"/>
    <cellStyle name="Normal 146 2 3" xfId="12843" xr:uid="{00000000-0005-0000-0000-00002B320000}"/>
    <cellStyle name="Normal 146 2 3 2" xfId="12844" xr:uid="{00000000-0005-0000-0000-00002C320000}"/>
    <cellStyle name="Normal 146 2 3 2 2" xfId="12845" xr:uid="{00000000-0005-0000-0000-00002D320000}"/>
    <cellStyle name="Normal 146 2 3 3" xfId="12846" xr:uid="{00000000-0005-0000-0000-00002E320000}"/>
    <cellStyle name="Normal 146 2 4" xfId="12847" xr:uid="{00000000-0005-0000-0000-00002F320000}"/>
    <cellStyle name="Normal 146 2 4 2" xfId="12848" xr:uid="{00000000-0005-0000-0000-000030320000}"/>
    <cellStyle name="Normal 146 2 4 2 2" xfId="12849" xr:uid="{00000000-0005-0000-0000-000031320000}"/>
    <cellStyle name="Normal 146 2 4 3" xfId="12850" xr:uid="{00000000-0005-0000-0000-000032320000}"/>
    <cellStyle name="Normal 146 2 5" xfId="12851" xr:uid="{00000000-0005-0000-0000-000033320000}"/>
    <cellStyle name="Normal 146 3" xfId="12852" xr:uid="{00000000-0005-0000-0000-000034320000}"/>
    <cellStyle name="Normal 146 3 2" xfId="12853" xr:uid="{00000000-0005-0000-0000-000035320000}"/>
    <cellStyle name="Normal 146 3 2 2" xfId="12854" xr:uid="{00000000-0005-0000-0000-000036320000}"/>
    <cellStyle name="Normal 146 3 2 2 2" xfId="12855" xr:uid="{00000000-0005-0000-0000-000037320000}"/>
    <cellStyle name="Normal 146 3 2 3" xfId="12856" xr:uid="{00000000-0005-0000-0000-000038320000}"/>
    <cellStyle name="Normal 146 3 2 3 2" xfId="12857" xr:uid="{00000000-0005-0000-0000-000039320000}"/>
    <cellStyle name="Normal 146 3 2 3 2 2" xfId="12858" xr:uid="{00000000-0005-0000-0000-00003A320000}"/>
    <cellStyle name="Normal 146 3 2 3 3" xfId="12859" xr:uid="{00000000-0005-0000-0000-00003B320000}"/>
    <cellStyle name="Normal 146 3 2 4" xfId="12860" xr:uid="{00000000-0005-0000-0000-00003C320000}"/>
    <cellStyle name="Normal 146 3 3" xfId="12861" xr:uid="{00000000-0005-0000-0000-00003D320000}"/>
    <cellStyle name="Normal 146 3 3 2" xfId="12862" xr:uid="{00000000-0005-0000-0000-00003E320000}"/>
    <cellStyle name="Normal 146 3 3 2 2" xfId="12863" xr:uid="{00000000-0005-0000-0000-00003F320000}"/>
    <cellStyle name="Normal 146 3 3 3" xfId="12864" xr:uid="{00000000-0005-0000-0000-000040320000}"/>
    <cellStyle name="Normal 146 3 4" xfId="12865" xr:uid="{00000000-0005-0000-0000-000041320000}"/>
    <cellStyle name="Normal 146 3 4 2" xfId="12866" xr:uid="{00000000-0005-0000-0000-000042320000}"/>
    <cellStyle name="Normal 146 3 4 2 2" xfId="12867" xr:uid="{00000000-0005-0000-0000-000043320000}"/>
    <cellStyle name="Normal 146 3 4 3" xfId="12868" xr:uid="{00000000-0005-0000-0000-000044320000}"/>
    <cellStyle name="Normal 146 3 5" xfId="12869" xr:uid="{00000000-0005-0000-0000-000045320000}"/>
    <cellStyle name="Normal 146 3 5 2" xfId="12870" xr:uid="{00000000-0005-0000-0000-000046320000}"/>
    <cellStyle name="Normal 146 3 5 2 2" xfId="12871" xr:uid="{00000000-0005-0000-0000-000047320000}"/>
    <cellStyle name="Normal 146 3 5 3" xfId="12872" xr:uid="{00000000-0005-0000-0000-000048320000}"/>
    <cellStyle name="Normal 146 3 6" xfId="12873" xr:uid="{00000000-0005-0000-0000-000049320000}"/>
    <cellStyle name="Normal 146 4" xfId="12874" xr:uid="{00000000-0005-0000-0000-00004A320000}"/>
    <cellStyle name="Normal 146 4 2" xfId="12875" xr:uid="{00000000-0005-0000-0000-00004B320000}"/>
    <cellStyle name="Normal 146 4 2 2" xfId="12876" xr:uid="{00000000-0005-0000-0000-00004C320000}"/>
    <cellStyle name="Normal 146 4 3" xfId="12877" xr:uid="{00000000-0005-0000-0000-00004D320000}"/>
    <cellStyle name="Normal 146 5" xfId="12878" xr:uid="{00000000-0005-0000-0000-00004E320000}"/>
    <cellStyle name="Normal 146 5 2" xfId="12879" xr:uid="{00000000-0005-0000-0000-00004F320000}"/>
    <cellStyle name="Normal 146 5 2 2" xfId="12880" xr:uid="{00000000-0005-0000-0000-000050320000}"/>
    <cellStyle name="Normal 146 5 3" xfId="12881" xr:uid="{00000000-0005-0000-0000-000051320000}"/>
    <cellStyle name="Normal 146 6" xfId="12882" xr:uid="{00000000-0005-0000-0000-000052320000}"/>
    <cellStyle name="Normal 146 6 2" xfId="12883" xr:uid="{00000000-0005-0000-0000-000053320000}"/>
    <cellStyle name="Normal 146 6 2 2" xfId="12884" xr:uid="{00000000-0005-0000-0000-000054320000}"/>
    <cellStyle name="Normal 146 6 3" xfId="12885" xr:uid="{00000000-0005-0000-0000-000055320000}"/>
    <cellStyle name="Normal 146 7" xfId="12886" xr:uid="{00000000-0005-0000-0000-000056320000}"/>
    <cellStyle name="Normal 147" xfId="12887" xr:uid="{00000000-0005-0000-0000-000057320000}"/>
    <cellStyle name="Normal 147 2" xfId="12888" xr:uid="{00000000-0005-0000-0000-000058320000}"/>
    <cellStyle name="Normal 147 2 2" xfId="12889" xr:uid="{00000000-0005-0000-0000-000059320000}"/>
    <cellStyle name="Normal 147 2 2 2" xfId="12890" xr:uid="{00000000-0005-0000-0000-00005A320000}"/>
    <cellStyle name="Normal 147 2 3" xfId="12891" xr:uid="{00000000-0005-0000-0000-00005B320000}"/>
    <cellStyle name="Normal 147 2 3 2" xfId="12892" xr:uid="{00000000-0005-0000-0000-00005C320000}"/>
    <cellStyle name="Normal 147 2 3 2 2" xfId="12893" xr:uid="{00000000-0005-0000-0000-00005D320000}"/>
    <cellStyle name="Normal 147 2 3 3" xfId="12894" xr:uid="{00000000-0005-0000-0000-00005E320000}"/>
    <cellStyle name="Normal 147 2 4" xfId="12895" xr:uid="{00000000-0005-0000-0000-00005F320000}"/>
    <cellStyle name="Normal 147 2 4 2" xfId="12896" xr:uid="{00000000-0005-0000-0000-000060320000}"/>
    <cellStyle name="Normal 147 2 4 2 2" xfId="12897" xr:uid="{00000000-0005-0000-0000-000061320000}"/>
    <cellStyle name="Normal 147 2 4 3" xfId="12898" xr:uid="{00000000-0005-0000-0000-000062320000}"/>
    <cellStyle name="Normal 147 2 5" xfId="12899" xr:uid="{00000000-0005-0000-0000-000063320000}"/>
    <cellStyle name="Normal 147 3" xfId="12900" xr:uid="{00000000-0005-0000-0000-000064320000}"/>
    <cellStyle name="Normal 147 3 2" xfId="12901" xr:uid="{00000000-0005-0000-0000-000065320000}"/>
    <cellStyle name="Normal 147 3 2 2" xfId="12902" xr:uid="{00000000-0005-0000-0000-000066320000}"/>
    <cellStyle name="Normal 147 3 2 2 2" xfId="12903" xr:uid="{00000000-0005-0000-0000-000067320000}"/>
    <cellStyle name="Normal 147 3 2 3" xfId="12904" xr:uid="{00000000-0005-0000-0000-000068320000}"/>
    <cellStyle name="Normal 147 3 2 3 2" xfId="12905" xr:uid="{00000000-0005-0000-0000-000069320000}"/>
    <cellStyle name="Normal 147 3 2 3 2 2" xfId="12906" xr:uid="{00000000-0005-0000-0000-00006A320000}"/>
    <cellStyle name="Normal 147 3 2 3 3" xfId="12907" xr:uid="{00000000-0005-0000-0000-00006B320000}"/>
    <cellStyle name="Normal 147 3 2 4" xfId="12908" xr:uid="{00000000-0005-0000-0000-00006C320000}"/>
    <cellStyle name="Normal 147 3 3" xfId="12909" xr:uid="{00000000-0005-0000-0000-00006D320000}"/>
    <cellStyle name="Normal 147 3 3 2" xfId="12910" xr:uid="{00000000-0005-0000-0000-00006E320000}"/>
    <cellStyle name="Normal 147 3 3 2 2" xfId="12911" xr:uid="{00000000-0005-0000-0000-00006F320000}"/>
    <cellStyle name="Normal 147 3 3 3" xfId="12912" xr:uid="{00000000-0005-0000-0000-000070320000}"/>
    <cellStyle name="Normal 147 3 4" xfId="12913" xr:uid="{00000000-0005-0000-0000-000071320000}"/>
    <cellStyle name="Normal 147 3 4 2" xfId="12914" xr:uid="{00000000-0005-0000-0000-000072320000}"/>
    <cellStyle name="Normal 147 3 4 2 2" xfId="12915" xr:uid="{00000000-0005-0000-0000-000073320000}"/>
    <cellStyle name="Normal 147 3 4 3" xfId="12916" xr:uid="{00000000-0005-0000-0000-000074320000}"/>
    <cellStyle name="Normal 147 3 5" xfId="12917" xr:uid="{00000000-0005-0000-0000-000075320000}"/>
    <cellStyle name="Normal 147 3 5 2" xfId="12918" xr:uid="{00000000-0005-0000-0000-000076320000}"/>
    <cellStyle name="Normal 147 3 5 2 2" xfId="12919" xr:uid="{00000000-0005-0000-0000-000077320000}"/>
    <cellStyle name="Normal 147 3 5 3" xfId="12920" xr:uid="{00000000-0005-0000-0000-000078320000}"/>
    <cellStyle name="Normal 147 3 6" xfId="12921" xr:uid="{00000000-0005-0000-0000-000079320000}"/>
    <cellStyle name="Normal 147 4" xfId="12922" xr:uid="{00000000-0005-0000-0000-00007A320000}"/>
    <cellStyle name="Normal 147 4 2" xfId="12923" xr:uid="{00000000-0005-0000-0000-00007B320000}"/>
    <cellStyle name="Normal 147 4 2 2" xfId="12924" xr:uid="{00000000-0005-0000-0000-00007C320000}"/>
    <cellStyle name="Normal 147 4 3" xfId="12925" xr:uid="{00000000-0005-0000-0000-00007D320000}"/>
    <cellStyle name="Normal 147 5" xfId="12926" xr:uid="{00000000-0005-0000-0000-00007E320000}"/>
    <cellStyle name="Normal 147 5 2" xfId="12927" xr:uid="{00000000-0005-0000-0000-00007F320000}"/>
    <cellStyle name="Normal 147 5 2 2" xfId="12928" xr:uid="{00000000-0005-0000-0000-000080320000}"/>
    <cellStyle name="Normal 147 5 3" xfId="12929" xr:uid="{00000000-0005-0000-0000-000081320000}"/>
    <cellStyle name="Normal 147 6" xfId="12930" xr:uid="{00000000-0005-0000-0000-000082320000}"/>
    <cellStyle name="Normal 147 6 2" xfId="12931" xr:uid="{00000000-0005-0000-0000-000083320000}"/>
    <cellStyle name="Normal 147 6 2 2" xfId="12932" xr:uid="{00000000-0005-0000-0000-000084320000}"/>
    <cellStyle name="Normal 147 6 3" xfId="12933" xr:uid="{00000000-0005-0000-0000-000085320000}"/>
    <cellStyle name="Normal 147 7" xfId="12934" xr:uid="{00000000-0005-0000-0000-000086320000}"/>
    <cellStyle name="Normal 148" xfId="12935" xr:uid="{00000000-0005-0000-0000-000087320000}"/>
    <cellStyle name="Normal 148 2" xfId="12936" xr:uid="{00000000-0005-0000-0000-000088320000}"/>
    <cellStyle name="Normal 148 2 2" xfId="12937" xr:uid="{00000000-0005-0000-0000-000089320000}"/>
    <cellStyle name="Normal 148 2 2 2" xfId="12938" xr:uid="{00000000-0005-0000-0000-00008A320000}"/>
    <cellStyle name="Normal 148 2 3" xfId="12939" xr:uid="{00000000-0005-0000-0000-00008B320000}"/>
    <cellStyle name="Normal 148 2 3 2" xfId="12940" xr:uid="{00000000-0005-0000-0000-00008C320000}"/>
    <cellStyle name="Normal 148 2 3 2 2" xfId="12941" xr:uid="{00000000-0005-0000-0000-00008D320000}"/>
    <cellStyle name="Normal 148 2 3 3" xfId="12942" xr:uid="{00000000-0005-0000-0000-00008E320000}"/>
    <cellStyle name="Normal 148 2 4" xfId="12943" xr:uid="{00000000-0005-0000-0000-00008F320000}"/>
    <cellStyle name="Normal 148 2 4 2" xfId="12944" xr:uid="{00000000-0005-0000-0000-000090320000}"/>
    <cellStyle name="Normal 148 2 4 2 2" xfId="12945" xr:uid="{00000000-0005-0000-0000-000091320000}"/>
    <cellStyle name="Normal 148 2 4 3" xfId="12946" xr:uid="{00000000-0005-0000-0000-000092320000}"/>
    <cellStyle name="Normal 148 2 5" xfId="12947" xr:uid="{00000000-0005-0000-0000-000093320000}"/>
    <cellStyle name="Normal 148 3" xfId="12948" xr:uid="{00000000-0005-0000-0000-000094320000}"/>
    <cellStyle name="Normal 148 3 2" xfId="12949" xr:uid="{00000000-0005-0000-0000-000095320000}"/>
    <cellStyle name="Normal 148 3 2 2" xfId="12950" xr:uid="{00000000-0005-0000-0000-000096320000}"/>
    <cellStyle name="Normal 148 3 2 2 2" xfId="12951" xr:uid="{00000000-0005-0000-0000-000097320000}"/>
    <cellStyle name="Normal 148 3 2 3" xfId="12952" xr:uid="{00000000-0005-0000-0000-000098320000}"/>
    <cellStyle name="Normal 148 3 2 3 2" xfId="12953" xr:uid="{00000000-0005-0000-0000-000099320000}"/>
    <cellStyle name="Normal 148 3 2 3 2 2" xfId="12954" xr:uid="{00000000-0005-0000-0000-00009A320000}"/>
    <cellStyle name="Normal 148 3 2 3 3" xfId="12955" xr:uid="{00000000-0005-0000-0000-00009B320000}"/>
    <cellStyle name="Normal 148 3 2 4" xfId="12956" xr:uid="{00000000-0005-0000-0000-00009C320000}"/>
    <cellStyle name="Normal 148 3 3" xfId="12957" xr:uid="{00000000-0005-0000-0000-00009D320000}"/>
    <cellStyle name="Normal 148 3 3 2" xfId="12958" xr:uid="{00000000-0005-0000-0000-00009E320000}"/>
    <cellStyle name="Normal 148 3 3 2 2" xfId="12959" xr:uid="{00000000-0005-0000-0000-00009F320000}"/>
    <cellStyle name="Normal 148 3 3 3" xfId="12960" xr:uid="{00000000-0005-0000-0000-0000A0320000}"/>
    <cellStyle name="Normal 148 3 4" xfId="12961" xr:uid="{00000000-0005-0000-0000-0000A1320000}"/>
    <cellStyle name="Normal 148 3 4 2" xfId="12962" xr:uid="{00000000-0005-0000-0000-0000A2320000}"/>
    <cellStyle name="Normal 148 3 4 2 2" xfId="12963" xr:uid="{00000000-0005-0000-0000-0000A3320000}"/>
    <cellStyle name="Normal 148 3 4 3" xfId="12964" xr:uid="{00000000-0005-0000-0000-0000A4320000}"/>
    <cellStyle name="Normal 148 3 5" xfId="12965" xr:uid="{00000000-0005-0000-0000-0000A5320000}"/>
    <cellStyle name="Normal 148 3 5 2" xfId="12966" xr:uid="{00000000-0005-0000-0000-0000A6320000}"/>
    <cellStyle name="Normal 148 3 5 2 2" xfId="12967" xr:uid="{00000000-0005-0000-0000-0000A7320000}"/>
    <cellStyle name="Normal 148 3 5 3" xfId="12968" xr:uid="{00000000-0005-0000-0000-0000A8320000}"/>
    <cellStyle name="Normal 148 3 6" xfId="12969" xr:uid="{00000000-0005-0000-0000-0000A9320000}"/>
    <cellStyle name="Normal 148 4" xfId="12970" xr:uid="{00000000-0005-0000-0000-0000AA320000}"/>
    <cellStyle name="Normal 148 4 2" xfId="12971" xr:uid="{00000000-0005-0000-0000-0000AB320000}"/>
    <cellStyle name="Normal 148 4 2 2" xfId="12972" xr:uid="{00000000-0005-0000-0000-0000AC320000}"/>
    <cellStyle name="Normal 148 4 3" xfId="12973" xr:uid="{00000000-0005-0000-0000-0000AD320000}"/>
    <cellStyle name="Normal 148 5" xfId="12974" xr:uid="{00000000-0005-0000-0000-0000AE320000}"/>
    <cellStyle name="Normal 148 5 2" xfId="12975" xr:uid="{00000000-0005-0000-0000-0000AF320000}"/>
    <cellStyle name="Normal 148 5 2 2" xfId="12976" xr:uid="{00000000-0005-0000-0000-0000B0320000}"/>
    <cellStyle name="Normal 148 5 3" xfId="12977" xr:uid="{00000000-0005-0000-0000-0000B1320000}"/>
    <cellStyle name="Normal 148 6" xfId="12978" xr:uid="{00000000-0005-0000-0000-0000B2320000}"/>
    <cellStyle name="Normal 148 6 2" xfId="12979" xr:uid="{00000000-0005-0000-0000-0000B3320000}"/>
    <cellStyle name="Normal 148 6 2 2" xfId="12980" xr:uid="{00000000-0005-0000-0000-0000B4320000}"/>
    <cellStyle name="Normal 148 6 3" xfId="12981" xr:uid="{00000000-0005-0000-0000-0000B5320000}"/>
    <cellStyle name="Normal 148 7" xfId="12982" xr:uid="{00000000-0005-0000-0000-0000B6320000}"/>
    <cellStyle name="Normal 149" xfId="12983" xr:uid="{00000000-0005-0000-0000-0000B7320000}"/>
    <cellStyle name="Normal 149 2" xfId="12984" xr:uid="{00000000-0005-0000-0000-0000B8320000}"/>
    <cellStyle name="Normal 149 2 2" xfId="12985" xr:uid="{00000000-0005-0000-0000-0000B9320000}"/>
    <cellStyle name="Normal 149 2 2 2" xfId="12986" xr:uid="{00000000-0005-0000-0000-0000BA320000}"/>
    <cellStyle name="Normal 149 2 3" xfId="12987" xr:uid="{00000000-0005-0000-0000-0000BB320000}"/>
    <cellStyle name="Normal 149 2 3 2" xfId="12988" xr:uid="{00000000-0005-0000-0000-0000BC320000}"/>
    <cellStyle name="Normal 149 2 3 2 2" xfId="12989" xr:uid="{00000000-0005-0000-0000-0000BD320000}"/>
    <cellStyle name="Normal 149 2 3 3" xfId="12990" xr:uid="{00000000-0005-0000-0000-0000BE320000}"/>
    <cellStyle name="Normal 149 2 4" xfId="12991" xr:uid="{00000000-0005-0000-0000-0000BF320000}"/>
    <cellStyle name="Normal 149 2 4 2" xfId="12992" xr:uid="{00000000-0005-0000-0000-0000C0320000}"/>
    <cellStyle name="Normal 149 2 4 2 2" xfId="12993" xr:uid="{00000000-0005-0000-0000-0000C1320000}"/>
    <cellStyle name="Normal 149 2 4 3" xfId="12994" xr:uid="{00000000-0005-0000-0000-0000C2320000}"/>
    <cellStyle name="Normal 149 2 5" xfId="12995" xr:uid="{00000000-0005-0000-0000-0000C3320000}"/>
    <cellStyle name="Normal 149 3" xfId="12996" xr:uid="{00000000-0005-0000-0000-0000C4320000}"/>
    <cellStyle name="Normal 149 3 2" xfId="12997" xr:uid="{00000000-0005-0000-0000-0000C5320000}"/>
    <cellStyle name="Normal 149 3 2 2" xfId="12998" xr:uid="{00000000-0005-0000-0000-0000C6320000}"/>
    <cellStyle name="Normal 149 3 2 2 2" xfId="12999" xr:uid="{00000000-0005-0000-0000-0000C7320000}"/>
    <cellStyle name="Normal 149 3 2 3" xfId="13000" xr:uid="{00000000-0005-0000-0000-0000C8320000}"/>
    <cellStyle name="Normal 149 3 2 3 2" xfId="13001" xr:uid="{00000000-0005-0000-0000-0000C9320000}"/>
    <cellStyle name="Normal 149 3 2 3 2 2" xfId="13002" xr:uid="{00000000-0005-0000-0000-0000CA320000}"/>
    <cellStyle name="Normal 149 3 2 3 3" xfId="13003" xr:uid="{00000000-0005-0000-0000-0000CB320000}"/>
    <cellStyle name="Normal 149 3 2 4" xfId="13004" xr:uid="{00000000-0005-0000-0000-0000CC320000}"/>
    <cellStyle name="Normal 149 3 3" xfId="13005" xr:uid="{00000000-0005-0000-0000-0000CD320000}"/>
    <cellStyle name="Normal 149 3 3 2" xfId="13006" xr:uid="{00000000-0005-0000-0000-0000CE320000}"/>
    <cellStyle name="Normal 149 3 3 2 2" xfId="13007" xr:uid="{00000000-0005-0000-0000-0000CF320000}"/>
    <cellStyle name="Normal 149 3 3 3" xfId="13008" xr:uid="{00000000-0005-0000-0000-0000D0320000}"/>
    <cellStyle name="Normal 149 3 4" xfId="13009" xr:uid="{00000000-0005-0000-0000-0000D1320000}"/>
    <cellStyle name="Normal 149 3 4 2" xfId="13010" xr:uid="{00000000-0005-0000-0000-0000D2320000}"/>
    <cellStyle name="Normal 149 3 4 2 2" xfId="13011" xr:uid="{00000000-0005-0000-0000-0000D3320000}"/>
    <cellStyle name="Normal 149 3 4 3" xfId="13012" xr:uid="{00000000-0005-0000-0000-0000D4320000}"/>
    <cellStyle name="Normal 149 3 5" xfId="13013" xr:uid="{00000000-0005-0000-0000-0000D5320000}"/>
    <cellStyle name="Normal 149 3 5 2" xfId="13014" xr:uid="{00000000-0005-0000-0000-0000D6320000}"/>
    <cellStyle name="Normal 149 3 5 2 2" xfId="13015" xr:uid="{00000000-0005-0000-0000-0000D7320000}"/>
    <cellStyle name="Normal 149 3 5 3" xfId="13016" xr:uid="{00000000-0005-0000-0000-0000D8320000}"/>
    <cellStyle name="Normal 149 3 6" xfId="13017" xr:uid="{00000000-0005-0000-0000-0000D9320000}"/>
    <cellStyle name="Normal 149 4" xfId="13018" xr:uid="{00000000-0005-0000-0000-0000DA320000}"/>
    <cellStyle name="Normal 149 4 2" xfId="13019" xr:uid="{00000000-0005-0000-0000-0000DB320000}"/>
    <cellStyle name="Normal 149 4 2 2" xfId="13020" xr:uid="{00000000-0005-0000-0000-0000DC320000}"/>
    <cellStyle name="Normal 149 4 3" xfId="13021" xr:uid="{00000000-0005-0000-0000-0000DD320000}"/>
    <cellStyle name="Normal 149 5" xfId="13022" xr:uid="{00000000-0005-0000-0000-0000DE320000}"/>
    <cellStyle name="Normal 149 5 2" xfId="13023" xr:uid="{00000000-0005-0000-0000-0000DF320000}"/>
    <cellStyle name="Normal 149 5 2 2" xfId="13024" xr:uid="{00000000-0005-0000-0000-0000E0320000}"/>
    <cellStyle name="Normal 149 5 3" xfId="13025" xr:uid="{00000000-0005-0000-0000-0000E1320000}"/>
    <cellStyle name="Normal 149 6" xfId="13026" xr:uid="{00000000-0005-0000-0000-0000E2320000}"/>
    <cellStyle name="Normal 149 6 2" xfId="13027" xr:uid="{00000000-0005-0000-0000-0000E3320000}"/>
    <cellStyle name="Normal 149 6 2 2" xfId="13028" xr:uid="{00000000-0005-0000-0000-0000E4320000}"/>
    <cellStyle name="Normal 149 6 3" xfId="13029" xr:uid="{00000000-0005-0000-0000-0000E5320000}"/>
    <cellStyle name="Normal 149 7" xfId="13030" xr:uid="{00000000-0005-0000-0000-0000E6320000}"/>
    <cellStyle name="Normal 15" xfId="13031" xr:uid="{00000000-0005-0000-0000-0000E7320000}"/>
    <cellStyle name="Normal 15 2" xfId="13032" xr:uid="{00000000-0005-0000-0000-0000E8320000}"/>
    <cellStyle name="Normal 15 2 2" xfId="13033" xr:uid="{00000000-0005-0000-0000-0000E9320000}"/>
    <cellStyle name="Normal 15 2 2 2" xfId="13034" xr:uid="{00000000-0005-0000-0000-0000EA320000}"/>
    <cellStyle name="Normal 15 2 2 2 2" xfId="13035" xr:uid="{00000000-0005-0000-0000-0000EB320000}"/>
    <cellStyle name="Normal 15 2 2 3" xfId="13036" xr:uid="{00000000-0005-0000-0000-0000EC320000}"/>
    <cellStyle name="Normal 15 2 2 3 2" xfId="13037" xr:uid="{00000000-0005-0000-0000-0000ED320000}"/>
    <cellStyle name="Normal 15 2 2 3 2 2" xfId="13038" xr:uid="{00000000-0005-0000-0000-0000EE320000}"/>
    <cellStyle name="Normal 15 2 2 3 3" xfId="13039" xr:uid="{00000000-0005-0000-0000-0000EF320000}"/>
    <cellStyle name="Normal 15 2 2 4" xfId="13040" xr:uid="{00000000-0005-0000-0000-0000F0320000}"/>
    <cellStyle name="Normal 15 2 2 4 2" xfId="13041" xr:uid="{00000000-0005-0000-0000-0000F1320000}"/>
    <cellStyle name="Normal 15 2 2 4 2 2" xfId="13042" xr:uid="{00000000-0005-0000-0000-0000F2320000}"/>
    <cellStyle name="Normal 15 2 2 4 3" xfId="13043" xr:uid="{00000000-0005-0000-0000-0000F3320000}"/>
    <cellStyle name="Normal 15 2 2 5" xfId="13044" xr:uid="{00000000-0005-0000-0000-0000F4320000}"/>
    <cellStyle name="Normal 15 2 3" xfId="13045" xr:uid="{00000000-0005-0000-0000-0000F5320000}"/>
    <cellStyle name="Normal 15 2 3 2" xfId="13046" xr:uid="{00000000-0005-0000-0000-0000F6320000}"/>
    <cellStyle name="Normal 15 2 3 2 2" xfId="13047" xr:uid="{00000000-0005-0000-0000-0000F7320000}"/>
    <cellStyle name="Normal 15 2 3 2 2 2" xfId="13048" xr:uid="{00000000-0005-0000-0000-0000F8320000}"/>
    <cellStyle name="Normal 15 2 3 2 3" xfId="13049" xr:uid="{00000000-0005-0000-0000-0000F9320000}"/>
    <cellStyle name="Normal 15 2 3 2 3 2" xfId="13050" xr:uid="{00000000-0005-0000-0000-0000FA320000}"/>
    <cellStyle name="Normal 15 2 3 2 3 2 2" xfId="13051" xr:uid="{00000000-0005-0000-0000-0000FB320000}"/>
    <cellStyle name="Normal 15 2 3 2 3 3" xfId="13052" xr:uid="{00000000-0005-0000-0000-0000FC320000}"/>
    <cellStyle name="Normal 15 2 3 2 4" xfId="13053" xr:uid="{00000000-0005-0000-0000-0000FD320000}"/>
    <cellStyle name="Normal 15 2 3 3" xfId="13054" xr:uid="{00000000-0005-0000-0000-0000FE320000}"/>
    <cellStyle name="Normal 15 2 3 3 2" xfId="13055" xr:uid="{00000000-0005-0000-0000-0000FF320000}"/>
    <cellStyle name="Normal 15 2 3 3 2 2" xfId="13056" xr:uid="{00000000-0005-0000-0000-000000330000}"/>
    <cellStyle name="Normal 15 2 3 3 3" xfId="13057" xr:uid="{00000000-0005-0000-0000-000001330000}"/>
    <cellStyle name="Normal 15 2 3 4" xfId="13058" xr:uid="{00000000-0005-0000-0000-000002330000}"/>
    <cellStyle name="Normal 15 2 3 4 2" xfId="13059" xr:uid="{00000000-0005-0000-0000-000003330000}"/>
    <cellStyle name="Normal 15 2 3 4 2 2" xfId="13060" xr:uid="{00000000-0005-0000-0000-000004330000}"/>
    <cellStyle name="Normal 15 2 3 4 3" xfId="13061" xr:uid="{00000000-0005-0000-0000-000005330000}"/>
    <cellStyle name="Normal 15 2 3 5" xfId="13062" xr:uid="{00000000-0005-0000-0000-000006330000}"/>
    <cellStyle name="Normal 15 2 3 5 2" xfId="13063" xr:uid="{00000000-0005-0000-0000-000007330000}"/>
    <cellStyle name="Normal 15 2 3 5 2 2" xfId="13064" xr:uid="{00000000-0005-0000-0000-000008330000}"/>
    <cellStyle name="Normal 15 2 3 5 3" xfId="13065" xr:uid="{00000000-0005-0000-0000-000009330000}"/>
    <cellStyle name="Normal 15 2 3 6" xfId="13066" xr:uid="{00000000-0005-0000-0000-00000A330000}"/>
    <cellStyle name="Normal 15 2 4" xfId="13067" xr:uid="{00000000-0005-0000-0000-00000B330000}"/>
    <cellStyle name="Normal 15 3" xfId="13068" xr:uid="{00000000-0005-0000-0000-00000C330000}"/>
    <cellStyle name="Normal 15 3 2" xfId="13069" xr:uid="{00000000-0005-0000-0000-00000D330000}"/>
    <cellStyle name="Normal 15 3 2 2" xfId="13070" xr:uid="{00000000-0005-0000-0000-00000E330000}"/>
    <cellStyle name="Normal 15 3 2 2 2" xfId="13071" xr:uid="{00000000-0005-0000-0000-00000F330000}"/>
    <cellStyle name="Normal 15 3 2 3" xfId="13072" xr:uid="{00000000-0005-0000-0000-000010330000}"/>
    <cellStyle name="Normal 15 3 2 3 2" xfId="13073" xr:uid="{00000000-0005-0000-0000-000011330000}"/>
    <cellStyle name="Normal 15 3 2 3 2 2" xfId="13074" xr:uid="{00000000-0005-0000-0000-000012330000}"/>
    <cellStyle name="Normal 15 3 2 3 3" xfId="13075" xr:uid="{00000000-0005-0000-0000-000013330000}"/>
    <cellStyle name="Normal 15 3 2 4" xfId="13076" xr:uid="{00000000-0005-0000-0000-000014330000}"/>
    <cellStyle name="Normal 15 3 2 4 2" xfId="13077" xr:uid="{00000000-0005-0000-0000-000015330000}"/>
    <cellStyle name="Normal 15 3 2 4 2 2" xfId="13078" xr:uid="{00000000-0005-0000-0000-000016330000}"/>
    <cellStyle name="Normal 15 3 2 4 3" xfId="13079" xr:uid="{00000000-0005-0000-0000-000017330000}"/>
    <cellStyle name="Normal 15 3 2 5" xfId="13080" xr:uid="{00000000-0005-0000-0000-000018330000}"/>
    <cellStyle name="Normal 15 3 3" xfId="13081" xr:uid="{00000000-0005-0000-0000-000019330000}"/>
    <cellStyle name="Normal 15 3 3 2" xfId="13082" xr:uid="{00000000-0005-0000-0000-00001A330000}"/>
    <cellStyle name="Normal 15 3 3 2 2" xfId="13083" xr:uid="{00000000-0005-0000-0000-00001B330000}"/>
    <cellStyle name="Normal 15 3 3 3" xfId="13084" xr:uid="{00000000-0005-0000-0000-00001C330000}"/>
    <cellStyle name="Normal 15 3 4" xfId="13085" xr:uid="{00000000-0005-0000-0000-00001D330000}"/>
    <cellStyle name="Normal 15 3 4 2" xfId="13086" xr:uid="{00000000-0005-0000-0000-00001E330000}"/>
    <cellStyle name="Normal 15 3 4 2 2" xfId="13087" xr:uid="{00000000-0005-0000-0000-00001F330000}"/>
    <cellStyle name="Normal 15 3 4 3" xfId="13088" xr:uid="{00000000-0005-0000-0000-000020330000}"/>
    <cellStyle name="Normal 15 3 5" xfId="13089" xr:uid="{00000000-0005-0000-0000-000021330000}"/>
    <cellStyle name="Normal 15 3 5 2" xfId="13090" xr:uid="{00000000-0005-0000-0000-000022330000}"/>
    <cellStyle name="Normal 15 3 5 2 2" xfId="13091" xr:uid="{00000000-0005-0000-0000-000023330000}"/>
    <cellStyle name="Normal 15 3 5 3" xfId="13092" xr:uid="{00000000-0005-0000-0000-000024330000}"/>
    <cellStyle name="Normal 15 3 6" xfId="13093" xr:uid="{00000000-0005-0000-0000-000025330000}"/>
    <cellStyle name="Normal 15 4" xfId="13094" xr:uid="{00000000-0005-0000-0000-000026330000}"/>
    <cellStyle name="Normal 15 4 2" xfId="13095" xr:uid="{00000000-0005-0000-0000-000027330000}"/>
    <cellStyle name="Normal 15 4 2 2" xfId="13096" xr:uid="{00000000-0005-0000-0000-000028330000}"/>
    <cellStyle name="Normal 15 4 3" xfId="13097" xr:uid="{00000000-0005-0000-0000-000029330000}"/>
    <cellStyle name="Normal 15 4 3 2" xfId="13098" xr:uid="{00000000-0005-0000-0000-00002A330000}"/>
    <cellStyle name="Normal 15 4 3 2 2" xfId="13099" xr:uid="{00000000-0005-0000-0000-00002B330000}"/>
    <cellStyle name="Normal 15 4 3 3" xfId="13100" xr:uid="{00000000-0005-0000-0000-00002C330000}"/>
    <cellStyle name="Normal 15 4 4" xfId="13101" xr:uid="{00000000-0005-0000-0000-00002D330000}"/>
    <cellStyle name="Normal 15 4 4 2" xfId="13102" xr:uid="{00000000-0005-0000-0000-00002E330000}"/>
    <cellStyle name="Normal 15 4 4 2 2" xfId="13103" xr:uid="{00000000-0005-0000-0000-00002F330000}"/>
    <cellStyle name="Normal 15 4 4 3" xfId="13104" xr:uid="{00000000-0005-0000-0000-000030330000}"/>
    <cellStyle name="Normal 15 4 5" xfId="13105" xr:uid="{00000000-0005-0000-0000-000031330000}"/>
    <cellStyle name="Normal 15 5" xfId="13106" xr:uid="{00000000-0005-0000-0000-000032330000}"/>
    <cellStyle name="Normal 15 5 2" xfId="13107" xr:uid="{00000000-0005-0000-0000-000033330000}"/>
    <cellStyle name="Normal 15 5 2 2" xfId="13108" xr:uid="{00000000-0005-0000-0000-000034330000}"/>
    <cellStyle name="Normal 15 5 2 2 2" xfId="13109" xr:uid="{00000000-0005-0000-0000-000035330000}"/>
    <cellStyle name="Normal 15 5 2 3" xfId="13110" xr:uid="{00000000-0005-0000-0000-000036330000}"/>
    <cellStyle name="Normal 15 5 2 3 2" xfId="13111" xr:uid="{00000000-0005-0000-0000-000037330000}"/>
    <cellStyle name="Normal 15 5 2 3 2 2" xfId="13112" xr:uid="{00000000-0005-0000-0000-000038330000}"/>
    <cellStyle name="Normal 15 5 2 3 3" xfId="13113" xr:uid="{00000000-0005-0000-0000-000039330000}"/>
    <cellStyle name="Normal 15 5 2 4" xfId="13114" xr:uid="{00000000-0005-0000-0000-00003A330000}"/>
    <cellStyle name="Normal 15 5 3" xfId="13115" xr:uid="{00000000-0005-0000-0000-00003B330000}"/>
    <cellStyle name="Normal 15 5 3 2" xfId="13116" xr:uid="{00000000-0005-0000-0000-00003C330000}"/>
    <cellStyle name="Normal 15 5 3 2 2" xfId="13117" xr:uid="{00000000-0005-0000-0000-00003D330000}"/>
    <cellStyle name="Normal 15 5 3 3" xfId="13118" xr:uid="{00000000-0005-0000-0000-00003E330000}"/>
    <cellStyle name="Normal 15 5 4" xfId="13119" xr:uid="{00000000-0005-0000-0000-00003F330000}"/>
    <cellStyle name="Normal 15 5 4 2" xfId="13120" xr:uid="{00000000-0005-0000-0000-000040330000}"/>
    <cellStyle name="Normal 15 5 4 2 2" xfId="13121" xr:uid="{00000000-0005-0000-0000-000041330000}"/>
    <cellStyle name="Normal 15 5 4 3" xfId="13122" xr:uid="{00000000-0005-0000-0000-000042330000}"/>
    <cellStyle name="Normal 15 5 5" xfId="13123" xr:uid="{00000000-0005-0000-0000-000043330000}"/>
    <cellStyle name="Normal 15 5 5 2" xfId="13124" xr:uid="{00000000-0005-0000-0000-000044330000}"/>
    <cellStyle name="Normal 15 5 5 2 2" xfId="13125" xr:uid="{00000000-0005-0000-0000-000045330000}"/>
    <cellStyle name="Normal 15 5 5 3" xfId="13126" xr:uid="{00000000-0005-0000-0000-000046330000}"/>
    <cellStyle name="Normal 15 5 6" xfId="13127" xr:uid="{00000000-0005-0000-0000-000047330000}"/>
    <cellStyle name="Normal 15 6" xfId="13128" xr:uid="{00000000-0005-0000-0000-000048330000}"/>
    <cellStyle name="Normal 15 6 2" xfId="13129" xr:uid="{00000000-0005-0000-0000-000049330000}"/>
    <cellStyle name="Normal 15 6 2 2" xfId="13130" xr:uid="{00000000-0005-0000-0000-00004A330000}"/>
    <cellStyle name="Normal 15 6 2 2 2" xfId="13131" xr:uid="{00000000-0005-0000-0000-00004B330000}"/>
    <cellStyle name="Normal 15 6 2 3" xfId="13132" xr:uid="{00000000-0005-0000-0000-00004C330000}"/>
    <cellStyle name="Normal 15 6 2 3 2" xfId="13133" xr:uid="{00000000-0005-0000-0000-00004D330000}"/>
    <cellStyle name="Normal 15 6 2 3 2 2" xfId="13134" xr:uid="{00000000-0005-0000-0000-00004E330000}"/>
    <cellStyle name="Normal 15 6 2 3 3" xfId="13135" xr:uid="{00000000-0005-0000-0000-00004F330000}"/>
    <cellStyle name="Normal 15 6 2 4" xfId="13136" xr:uid="{00000000-0005-0000-0000-000050330000}"/>
    <cellStyle name="Normal 15 6 3" xfId="13137" xr:uid="{00000000-0005-0000-0000-000051330000}"/>
    <cellStyle name="Normal 15 6 3 2" xfId="13138" xr:uid="{00000000-0005-0000-0000-000052330000}"/>
    <cellStyle name="Normal 15 6 3 2 2" xfId="13139" xr:uid="{00000000-0005-0000-0000-000053330000}"/>
    <cellStyle name="Normal 15 6 3 3" xfId="13140" xr:uid="{00000000-0005-0000-0000-000054330000}"/>
    <cellStyle name="Normal 15 6 4" xfId="13141" xr:uid="{00000000-0005-0000-0000-000055330000}"/>
    <cellStyle name="Normal 15 6 4 2" xfId="13142" xr:uid="{00000000-0005-0000-0000-000056330000}"/>
    <cellStyle name="Normal 15 6 4 2 2" xfId="13143" xr:uid="{00000000-0005-0000-0000-000057330000}"/>
    <cellStyle name="Normal 15 6 4 3" xfId="13144" xr:uid="{00000000-0005-0000-0000-000058330000}"/>
    <cellStyle name="Normal 15 6 5" xfId="13145" xr:uid="{00000000-0005-0000-0000-000059330000}"/>
    <cellStyle name="Normal 15 7" xfId="13146" xr:uid="{00000000-0005-0000-0000-00005A330000}"/>
    <cellStyle name="Normal 15 8" xfId="13147" xr:uid="{00000000-0005-0000-0000-00005B330000}"/>
    <cellStyle name="Normal 150" xfId="13148" xr:uid="{00000000-0005-0000-0000-00005C330000}"/>
    <cellStyle name="Normal 150 2" xfId="13149" xr:uid="{00000000-0005-0000-0000-00005D330000}"/>
    <cellStyle name="Normal 150 2 2" xfId="13150" xr:uid="{00000000-0005-0000-0000-00005E330000}"/>
    <cellStyle name="Normal 150 2 2 2" xfId="13151" xr:uid="{00000000-0005-0000-0000-00005F330000}"/>
    <cellStyle name="Normal 150 2 3" xfId="13152" xr:uid="{00000000-0005-0000-0000-000060330000}"/>
    <cellStyle name="Normal 150 2 3 2" xfId="13153" xr:uid="{00000000-0005-0000-0000-000061330000}"/>
    <cellStyle name="Normal 150 2 3 2 2" xfId="13154" xr:uid="{00000000-0005-0000-0000-000062330000}"/>
    <cellStyle name="Normal 150 2 3 3" xfId="13155" xr:uid="{00000000-0005-0000-0000-000063330000}"/>
    <cellStyle name="Normal 150 2 4" xfId="13156" xr:uid="{00000000-0005-0000-0000-000064330000}"/>
    <cellStyle name="Normal 150 2 4 2" xfId="13157" xr:uid="{00000000-0005-0000-0000-000065330000}"/>
    <cellStyle name="Normal 150 2 4 2 2" xfId="13158" xr:uid="{00000000-0005-0000-0000-000066330000}"/>
    <cellStyle name="Normal 150 2 4 3" xfId="13159" xr:uid="{00000000-0005-0000-0000-000067330000}"/>
    <cellStyle name="Normal 150 2 5" xfId="13160" xr:uid="{00000000-0005-0000-0000-000068330000}"/>
    <cellStyle name="Normal 150 3" xfId="13161" xr:uid="{00000000-0005-0000-0000-000069330000}"/>
    <cellStyle name="Normal 150 3 2" xfId="13162" xr:uid="{00000000-0005-0000-0000-00006A330000}"/>
    <cellStyle name="Normal 150 3 2 2" xfId="13163" xr:uid="{00000000-0005-0000-0000-00006B330000}"/>
    <cellStyle name="Normal 150 3 2 2 2" xfId="13164" xr:uid="{00000000-0005-0000-0000-00006C330000}"/>
    <cellStyle name="Normal 150 3 2 3" xfId="13165" xr:uid="{00000000-0005-0000-0000-00006D330000}"/>
    <cellStyle name="Normal 150 3 2 3 2" xfId="13166" xr:uid="{00000000-0005-0000-0000-00006E330000}"/>
    <cellStyle name="Normal 150 3 2 3 2 2" xfId="13167" xr:uid="{00000000-0005-0000-0000-00006F330000}"/>
    <cellStyle name="Normal 150 3 2 3 3" xfId="13168" xr:uid="{00000000-0005-0000-0000-000070330000}"/>
    <cellStyle name="Normal 150 3 2 4" xfId="13169" xr:uid="{00000000-0005-0000-0000-000071330000}"/>
    <cellStyle name="Normal 150 3 3" xfId="13170" xr:uid="{00000000-0005-0000-0000-000072330000}"/>
    <cellStyle name="Normal 150 3 3 2" xfId="13171" xr:uid="{00000000-0005-0000-0000-000073330000}"/>
    <cellStyle name="Normal 150 3 3 2 2" xfId="13172" xr:uid="{00000000-0005-0000-0000-000074330000}"/>
    <cellStyle name="Normal 150 3 3 3" xfId="13173" xr:uid="{00000000-0005-0000-0000-000075330000}"/>
    <cellStyle name="Normal 150 3 4" xfId="13174" xr:uid="{00000000-0005-0000-0000-000076330000}"/>
    <cellStyle name="Normal 150 3 4 2" xfId="13175" xr:uid="{00000000-0005-0000-0000-000077330000}"/>
    <cellStyle name="Normal 150 3 4 2 2" xfId="13176" xr:uid="{00000000-0005-0000-0000-000078330000}"/>
    <cellStyle name="Normal 150 3 4 3" xfId="13177" xr:uid="{00000000-0005-0000-0000-000079330000}"/>
    <cellStyle name="Normal 150 3 5" xfId="13178" xr:uid="{00000000-0005-0000-0000-00007A330000}"/>
    <cellStyle name="Normal 150 3 5 2" xfId="13179" xr:uid="{00000000-0005-0000-0000-00007B330000}"/>
    <cellStyle name="Normal 150 3 5 2 2" xfId="13180" xr:uid="{00000000-0005-0000-0000-00007C330000}"/>
    <cellStyle name="Normal 150 3 5 3" xfId="13181" xr:uid="{00000000-0005-0000-0000-00007D330000}"/>
    <cellStyle name="Normal 150 3 6" xfId="13182" xr:uid="{00000000-0005-0000-0000-00007E330000}"/>
    <cellStyle name="Normal 150 4" xfId="13183" xr:uid="{00000000-0005-0000-0000-00007F330000}"/>
    <cellStyle name="Normal 150 4 2" xfId="13184" xr:uid="{00000000-0005-0000-0000-000080330000}"/>
    <cellStyle name="Normal 150 4 2 2" xfId="13185" xr:uid="{00000000-0005-0000-0000-000081330000}"/>
    <cellStyle name="Normal 150 4 3" xfId="13186" xr:uid="{00000000-0005-0000-0000-000082330000}"/>
    <cellStyle name="Normal 150 5" xfId="13187" xr:uid="{00000000-0005-0000-0000-000083330000}"/>
    <cellStyle name="Normal 150 5 2" xfId="13188" xr:uid="{00000000-0005-0000-0000-000084330000}"/>
    <cellStyle name="Normal 150 5 2 2" xfId="13189" xr:uid="{00000000-0005-0000-0000-000085330000}"/>
    <cellStyle name="Normal 150 5 3" xfId="13190" xr:uid="{00000000-0005-0000-0000-000086330000}"/>
    <cellStyle name="Normal 150 6" xfId="13191" xr:uid="{00000000-0005-0000-0000-000087330000}"/>
    <cellStyle name="Normal 150 6 2" xfId="13192" xr:uid="{00000000-0005-0000-0000-000088330000}"/>
    <cellStyle name="Normal 150 6 2 2" xfId="13193" xr:uid="{00000000-0005-0000-0000-000089330000}"/>
    <cellStyle name="Normal 150 6 3" xfId="13194" xr:uid="{00000000-0005-0000-0000-00008A330000}"/>
    <cellStyle name="Normal 150 7" xfId="13195" xr:uid="{00000000-0005-0000-0000-00008B330000}"/>
    <cellStyle name="Normal 151" xfId="13196" xr:uid="{00000000-0005-0000-0000-00008C330000}"/>
    <cellStyle name="Normal 151 2" xfId="13197" xr:uid="{00000000-0005-0000-0000-00008D330000}"/>
    <cellStyle name="Normal 151 2 2" xfId="13198" xr:uid="{00000000-0005-0000-0000-00008E330000}"/>
    <cellStyle name="Normal 151 2 2 2" xfId="13199" xr:uid="{00000000-0005-0000-0000-00008F330000}"/>
    <cellStyle name="Normal 151 2 3" xfId="13200" xr:uid="{00000000-0005-0000-0000-000090330000}"/>
    <cellStyle name="Normal 151 2 3 2" xfId="13201" xr:uid="{00000000-0005-0000-0000-000091330000}"/>
    <cellStyle name="Normal 151 2 3 2 2" xfId="13202" xr:uid="{00000000-0005-0000-0000-000092330000}"/>
    <cellStyle name="Normal 151 2 3 3" xfId="13203" xr:uid="{00000000-0005-0000-0000-000093330000}"/>
    <cellStyle name="Normal 151 2 4" xfId="13204" xr:uid="{00000000-0005-0000-0000-000094330000}"/>
    <cellStyle name="Normal 151 2 4 2" xfId="13205" xr:uid="{00000000-0005-0000-0000-000095330000}"/>
    <cellStyle name="Normal 151 2 4 2 2" xfId="13206" xr:uid="{00000000-0005-0000-0000-000096330000}"/>
    <cellStyle name="Normal 151 2 4 3" xfId="13207" xr:uid="{00000000-0005-0000-0000-000097330000}"/>
    <cellStyle name="Normal 151 2 5" xfId="13208" xr:uid="{00000000-0005-0000-0000-000098330000}"/>
    <cellStyle name="Normal 151 3" xfId="13209" xr:uid="{00000000-0005-0000-0000-000099330000}"/>
    <cellStyle name="Normal 151 3 2" xfId="13210" xr:uid="{00000000-0005-0000-0000-00009A330000}"/>
    <cellStyle name="Normal 151 3 2 2" xfId="13211" xr:uid="{00000000-0005-0000-0000-00009B330000}"/>
    <cellStyle name="Normal 151 3 2 2 2" xfId="13212" xr:uid="{00000000-0005-0000-0000-00009C330000}"/>
    <cellStyle name="Normal 151 3 2 3" xfId="13213" xr:uid="{00000000-0005-0000-0000-00009D330000}"/>
    <cellStyle name="Normal 151 3 2 3 2" xfId="13214" xr:uid="{00000000-0005-0000-0000-00009E330000}"/>
    <cellStyle name="Normal 151 3 2 3 2 2" xfId="13215" xr:uid="{00000000-0005-0000-0000-00009F330000}"/>
    <cellStyle name="Normal 151 3 2 3 3" xfId="13216" xr:uid="{00000000-0005-0000-0000-0000A0330000}"/>
    <cellStyle name="Normal 151 3 2 4" xfId="13217" xr:uid="{00000000-0005-0000-0000-0000A1330000}"/>
    <cellStyle name="Normal 151 3 3" xfId="13218" xr:uid="{00000000-0005-0000-0000-0000A2330000}"/>
    <cellStyle name="Normal 151 3 3 2" xfId="13219" xr:uid="{00000000-0005-0000-0000-0000A3330000}"/>
    <cellStyle name="Normal 151 3 3 2 2" xfId="13220" xr:uid="{00000000-0005-0000-0000-0000A4330000}"/>
    <cellStyle name="Normal 151 3 3 3" xfId="13221" xr:uid="{00000000-0005-0000-0000-0000A5330000}"/>
    <cellStyle name="Normal 151 3 4" xfId="13222" xr:uid="{00000000-0005-0000-0000-0000A6330000}"/>
    <cellStyle name="Normal 151 3 4 2" xfId="13223" xr:uid="{00000000-0005-0000-0000-0000A7330000}"/>
    <cellStyle name="Normal 151 3 4 2 2" xfId="13224" xr:uid="{00000000-0005-0000-0000-0000A8330000}"/>
    <cellStyle name="Normal 151 3 4 3" xfId="13225" xr:uid="{00000000-0005-0000-0000-0000A9330000}"/>
    <cellStyle name="Normal 151 3 5" xfId="13226" xr:uid="{00000000-0005-0000-0000-0000AA330000}"/>
    <cellStyle name="Normal 151 3 5 2" xfId="13227" xr:uid="{00000000-0005-0000-0000-0000AB330000}"/>
    <cellStyle name="Normal 151 3 5 2 2" xfId="13228" xr:uid="{00000000-0005-0000-0000-0000AC330000}"/>
    <cellStyle name="Normal 151 3 5 3" xfId="13229" xr:uid="{00000000-0005-0000-0000-0000AD330000}"/>
    <cellStyle name="Normal 151 3 6" xfId="13230" xr:uid="{00000000-0005-0000-0000-0000AE330000}"/>
    <cellStyle name="Normal 151 4" xfId="13231" xr:uid="{00000000-0005-0000-0000-0000AF330000}"/>
    <cellStyle name="Normal 151 4 2" xfId="13232" xr:uid="{00000000-0005-0000-0000-0000B0330000}"/>
    <cellStyle name="Normal 151 4 2 2" xfId="13233" xr:uid="{00000000-0005-0000-0000-0000B1330000}"/>
    <cellStyle name="Normal 151 4 3" xfId="13234" xr:uid="{00000000-0005-0000-0000-0000B2330000}"/>
    <cellStyle name="Normal 151 5" xfId="13235" xr:uid="{00000000-0005-0000-0000-0000B3330000}"/>
    <cellStyle name="Normal 151 5 2" xfId="13236" xr:uid="{00000000-0005-0000-0000-0000B4330000}"/>
    <cellStyle name="Normal 151 5 2 2" xfId="13237" xr:uid="{00000000-0005-0000-0000-0000B5330000}"/>
    <cellStyle name="Normal 151 5 3" xfId="13238" xr:uid="{00000000-0005-0000-0000-0000B6330000}"/>
    <cellStyle name="Normal 151 6" xfId="13239" xr:uid="{00000000-0005-0000-0000-0000B7330000}"/>
    <cellStyle name="Normal 151 6 2" xfId="13240" xr:uid="{00000000-0005-0000-0000-0000B8330000}"/>
    <cellStyle name="Normal 151 6 2 2" xfId="13241" xr:uid="{00000000-0005-0000-0000-0000B9330000}"/>
    <cellStyle name="Normal 151 6 3" xfId="13242" xr:uid="{00000000-0005-0000-0000-0000BA330000}"/>
    <cellStyle name="Normal 151 7" xfId="13243" xr:uid="{00000000-0005-0000-0000-0000BB330000}"/>
    <cellStyle name="Normal 152" xfId="13244" xr:uid="{00000000-0005-0000-0000-0000BC330000}"/>
    <cellStyle name="Normal 152 2" xfId="13245" xr:uid="{00000000-0005-0000-0000-0000BD330000}"/>
    <cellStyle name="Normal 152 2 2" xfId="13246" xr:uid="{00000000-0005-0000-0000-0000BE330000}"/>
    <cellStyle name="Normal 152 2 2 2" xfId="13247" xr:uid="{00000000-0005-0000-0000-0000BF330000}"/>
    <cellStyle name="Normal 152 2 3" xfId="13248" xr:uid="{00000000-0005-0000-0000-0000C0330000}"/>
    <cellStyle name="Normal 152 2 3 2" xfId="13249" xr:uid="{00000000-0005-0000-0000-0000C1330000}"/>
    <cellStyle name="Normal 152 2 3 2 2" xfId="13250" xr:uid="{00000000-0005-0000-0000-0000C2330000}"/>
    <cellStyle name="Normal 152 2 3 3" xfId="13251" xr:uid="{00000000-0005-0000-0000-0000C3330000}"/>
    <cellStyle name="Normal 152 2 4" xfId="13252" xr:uid="{00000000-0005-0000-0000-0000C4330000}"/>
    <cellStyle name="Normal 152 2 4 2" xfId="13253" xr:uid="{00000000-0005-0000-0000-0000C5330000}"/>
    <cellStyle name="Normal 152 2 4 2 2" xfId="13254" xr:uid="{00000000-0005-0000-0000-0000C6330000}"/>
    <cellStyle name="Normal 152 2 4 3" xfId="13255" xr:uid="{00000000-0005-0000-0000-0000C7330000}"/>
    <cellStyle name="Normal 152 2 5" xfId="13256" xr:uid="{00000000-0005-0000-0000-0000C8330000}"/>
    <cellStyle name="Normal 152 3" xfId="13257" xr:uid="{00000000-0005-0000-0000-0000C9330000}"/>
    <cellStyle name="Normal 152 3 2" xfId="13258" xr:uid="{00000000-0005-0000-0000-0000CA330000}"/>
    <cellStyle name="Normal 152 3 2 2" xfId="13259" xr:uid="{00000000-0005-0000-0000-0000CB330000}"/>
    <cellStyle name="Normal 152 3 2 2 2" xfId="13260" xr:uid="{00000000-0005-0000-0000-0000CC330000}"/>
    <cellStyle name="Normal 152 3 2 3" xfId="13261" xr:uid="{00000000-0005-0000-0000-0000CD330000}"/>
    <cellStyle name="Normal 152 3 2 3 2" xfId="13262" xr:uid="{00000000-0005-0000-0000-0000CE330000}"/>
    <cellStyle name="Normal 152 3 2 3 2 2" xfId="13263" xr:uid="{00000000-0005-0000-0000-0000CF330000}"/>
    <cellStyle name="Normal 152 3 2 3 3" xfId="13264" xr:uid="{00000000-0005-0000-0000-0000D0330000}"/>
    <cellStyle name="Normal 152 3 2 4" xfId="13265" xr:uid="{00000000-0005-0000-0000-0000D1330000}"/>
    <cellStyle name="Normal 152 3 3" xfId="13266" xr:uid="{00000000-0005-0000-0000-0000D2330000}"/>
    <cellStyle name="Normal 152 3 3 2" xfId="13267" xr:uid="{00000000-0005-0000-0000-0000D3330000}"/>
    <cellStyle name="Normal 152 3 3 2 2" xfId="13268" xr:uid="{00000000-0005-0000-0000-0000D4330000}"/>
    <cellStyle name="Normal 152 3 3 3" xfId="13269" xr:uid="{00000000-0005-0000-0000-0000D5330000}"/>
    <cellStyle name="Normal 152 3 4" xfId="13270" xr:uid="{00000000-0005-0000-0000-0000D6330000}"/>
    <cellStyle name="Normal 152 3 4 2" xfId="13271" xr:uid="{00000000-0005-0000-0000-0000D7330000}"/>
    <cellStyle name="Normal 152 3 4 2 2" xfId="13272" xr:uid="{00000000-0005-0000-0000-0000D8330000}"/>
    <cellStyle name="Normal 152 3 4 3" xfId="13273" xr:uid="{00000000-0005-0000-0000-0000D9330000}"/>
    <cellStyle name="Normal 152 3 5" xfId="13274" xr:uid="{00000000-0005-0000-0000-0000DA330000}"/>
    <cellStyle name="Normal 152 3 5 2" xfId="13275" xr:uid="{00000000-0005-0000-0000-0000DB330000}"/>
    <cellStyle name="Normal 152 3 5 2 2" xfId="13276" xr:uid="{00000000-0005-0000-0000-0000DC330000}"/>
    <cellStyle name="Normal 152 3 5 3" xfId="13277" xr:uid="{00000000-0005-0000-0000-0000DD330000}"/>
    <cellStyle name="Normal 152 3 6" xfId="13278" xr:uid="{00000000-0005-0000-0000-0000DE330000}"/>
    <cellStyle name="Normal 152 4" xfId="13279" xr:uid="{00000000-0005-0000-0000-0000DF330000}"/>
    <cellStyle name="Normal 152 4 2" xfId="13280" xr:uid="{00000000-0005-0000-0000-0000E0330000}"/>
    <cellStyle name="Normal 152 4 2 2" xfId="13281" xr:uid="{00000000-0005-0000-0000-0000E1330000}"/>
    <cellStyle name="Normal 152 4 3" xfId="13282" xr:uid="{00000000-0005-0000-0000-0000E2330000}"/>
    <cellStyle name="Normal 152 5" xfId="13283" xr:uid="{00000000-0005-0000-0000-0000E3330000}"/>
    <cellStyle name="Normal 152 5 2" xfId="13284" xr:uid="{00000000-0005-0000-0000-0000E4330000}"/>
    <cellStyle name="Normal 152 5 2 2" xfId="13285" xr:uid="{00000000-0005-0000-0000-0000E5330000}"/>
    <cellStyle name="Normal 152 5 3" xfId="13286" xr:uid="{00000000-0005-0000-0000-0000E6330000}"/>
    <cellStyle name="Normal 152 6" xfId="13287" xr:uid="{00000000-0005-0000-0000-0000E7330000}"/>
    <cellStyle name="Normal 152 6 2" xfId="13288" xr:uid="{00000000-0005-0000-0000-0000E8330000}"/>
    <cellStyle name="Normal 152 6 2 2" xfId="13289" xr:uid="{00000000-0005-0000-0000-0000E9330000}"/>
    <cellStyle name="Normal 152 6 3" xfId="13290" xr:uid="{00000000-0005-0000-0000-0000EA330000}"/>
    <cellStyle name="Normal 152 7" xfId="13291" xr:uid="{00000000-0005-0000-0000-0000EB330000}"/>
    <cellStyle name="Normal 153" xfId="13292" xr:uid="{00000000-0005-0000-0000-0000EC330000}"/>
    <cellStyle name="Normal 153 2" xfId="13293" xr:uid="{00000000-0005-0000-0000-0000ED330000}"/>
    <cellStyle name="Normal 153 2 2" xfId="13294" xr:uid="{00000000-0005-0000-0000-0000EE330000}"/>
    <cellStyle name="Normal 153 2 2 2" xfId="13295" xr:uid="{00000000-0005-0000-0000-0000EF330000}"/>
    <cellStyle name="Normal 153 2 3" xfId="13296" xr:uid="{00000000-0005-0000-0000-0000F0330000}"/>
    <cellStyle name="Normal 153 2 3 2" xfId="13297" xr:uid="{00000000-0005-0000-0000-0000F1330000}"/>
    <cellStyle name="Normal 153 2 3 2 2" xfId="13298" xr:uid="{00000000-0005-0000-0000-0000F2330000}"/>
    <cellStyle name="Normal 153 2 3 3" xfId="13299" xr:uid="{00000000-0005-0000-0000-0000F3330000}"/>
    <cellStyle name="Normal 153 2 4" xfId="13300" xr:uid="{00000000-0005-0000-0000-0000F4330000}"/>
    <cellStyle name="Normal 153 2 4 2" xfId="13301" xr:uid="{00000000-0005-0000-0000-0000F5330000}"/>
    <cellStyle name="Normal 153 2 4 2 2" xfId="13302" xr:uid="{00000000-0005-0000-0000-0000F6330000}"/>
    <cellStyle name="Normal 153 2 4 3" xfId="13303" xr:uid="{00000000-0005-0000-0000-0000F7330000}"/>
    <cellStyle name="Normal 153 2 5" xfId="13304" xr:uid="{00000000-0005-0000-0000-0000F8330000}"/>
    <cellStyle name="Normal 153 3" xfId="13305" xr:uid="{00000000-0005-0000-0000-0000F9330000}"/>
    <cellStyle name="Normal 153 3 2" xfId="13306" xr:uid="{00000000-0005-0000-0000-0000FA330000}"/>
    <cellStyle name="Normal 153 3 2 2" xfId="13307" xr:uid="{00000000-0005-0000-0000-0000FB330000}"/>
    <cellStyle name="Normal 153 3 2 2 2" xfId="13308" xr:uid="{00000000-0005-0000-0000-0000FC330000}"/>
    <cellStyle name="Normal 153 3 2 3" xfId="13309" xr:uid="{00000000-0005-0000-0000-0000FD330000}"/>
    <cellStyle name="Normal 153 3 2 3 2" xfId="13310" xr:uid="{00000000-0005-0000-0000-0000FE330000}"/>
    <cellStyle name="Normal 153 3 2 3 2 2" xfId="13311" xr:uid="{00000000-0005-0000-0000-0000FF330000}"/>
    <cellStyle name="Normal 153 3 2 3 3" xfId="13312" xr:uid="{00000000-0005-0000-0000-000000340000}"/>
    <cellStyle name="Normal 153 3 2 4" xfId="13313" xr:uid="{00000000-0005-0000-0000-000001340000}"/>
    <cellStyle name="Normal 153 3 3" xfId="13314" xr:uid="{00000000-0005-0000-0000-000002340000}"/>
    <cellStyle name="Normal 153 3 3 2" xfId="13315" xr:uid="{00000000-0005-0000-0000-000003340000}"/>
    <cellStyle name="Normal 153 3 3 2 2" xfId="13316" xr:uid="{00000000-0005-0000-0000-000004340000}"/>
    <cellStyle name="Normal 153 3 3 3" xfId="13317" xr:uid="{00000000-0005-0000-0000-000005340000}"/>
    <cellStyle name="Normal 153 3 4" xfId="13318" xr:uid="{00000000-0005-0000-0000-000006340000}"/>
    <cellStyle name="Normal 153 3 4 2" xfId="13319" xr:uid="{00000000-0005-0000-0000-000007340000}"/>
    <cellStyle name="Normal 153 3 4 2 2" xfId="13320" xr:uid="{00000000-0005-0000-0000-000008340000}"/>
    <cellStyle name="Normal 153 3 4 3" xfId="13321" xr:uid="{00000000-0005-0000-0000-000009340000}"/>
    <cellStyle name="Normal 153 3 5" xfId="13322" xr:uid="{00000000-0005-0000-0000-00000A340000}"/>
    <cellStyle name="Normal 153 3 5 2" xfId="13323" xr:uid="{00000000-0005-0000-0000-00000B340000}"/>
    <cellStyle name="Normal 153 3 5 2 2" xfId="13324" xr:uid="{00000000-0005-0000-0000-00000C340000}"/>
    <cellStyle name="Normal 153 3 5 3" xfId="13325" xr:uid="{00000000-0005-0000-0000-00000D340000}"/>
    <cellStyle name="Normal 153 3 6" xfId="13326" xr:uid="{00000000-0005-0000-0000-00000E340000}"/>
    <cellStyle name="Normal 153 4" xfId="13327" xr:uid="{00000000-0005-0000-0000-00000F340000}"/>
    <cellStyle name="Normal 153 4 2" xfId="13328" xr:uid="{00000000-0005-0000-0000-000010340000}"/>
    <cellStyle name="Normal 153 4 2 2" xfId="13329" xr:uid="{00000000-0005-0000-0000-000011340000}"/>
    <cellStyle name="Normal 153 4 3" xfId="13330" xr:uid="{00000000-0005-0000-0000-000012340000}"/>
    <cellStyle name="Normal 153 5" xfId="13331" xr:uid="{00000000-0005-0000-0000-000013340000}"/>
    <cellStyle name="Normal 153 5 2" xfId="13332" xr:uid="{00000000-0005-0000-0000-000014340000}"/>
    <cellStyle name="Normal 153 5 2 2" xfId="13333" xr:uid="{00000000-0005-0000-0000-000015340000}"/>
    <cellStyle name="Normal 153 5 3" xfId="13334" xr:uid="{00000000-0005-0000-0000-000016340000}"/>
    <cellStyle name="Normal 153 6" xfId="13335" xr:uid="{00000000-0005-0000-0000-000017340000}"/>
    <cellStyle name="Normal 153 6 2" xfId="13336" xr:uid="{00000000-0005-0000-0000-000018340000}"/>
    <cellStyle name="Normal 153 6 2 2" xfId="13337" xr:uid="{00000000-0005-0000-0000-000019340000}"/>
    <cellStyle name="Normal 153 6 3" xfId="13338" xr:uid="{00000000-0005-0000-0000-00001A340000}"/>
    <cellStyle name="Normal 153 7" xfId="13339" xr:uid="{00000000-0005-0000-0000-00001B340000}"/>
    <cellStyle name="Normal 154" xfId="13340" xr:uid="{00000000-0005-0000-0000-00001C340000}"/>
    <cellStyle name="Normal 154 2" xfId="13341" xr:uid="{00000000-0005-0000-0000-00001D340000}"/>
    <cellStyle name="Normal 154 2 2" xfId="13342" xr:uid="{00000000-0005-0000-0000-00001E340000}"/>
    <cellStyle name="Normal 154 2 2 2" xfId="13343" xr:uid="{00000000-0005-0000-0000-00001F340000}"/>
    <cellStyle name="Normal 154 2 3" xfId="13344" xr:uid="{00000000-0005-0000-0000-000020340000}"/>
    <cellStyle name="Normal 154 2 3 2" xfId="13345" xr:uid="{00000000-0005-0000-0000-000021340000}"/>
    <cellStyle name="Normal 154 2 3 2 2" xfId="13346" xr:uid="{00000000-0005-0000-0000-000022340000}"/>
    <cellStyle name="Normal 154 2 3 3" xfId="13347" xr:uid="{00000000-0005-0000-0000-000023340000}"/>
    <cellStyle name="Normal 154 2 4" xfId="13348" xr:uid="{00000000-0005-0000-0000-000024340000}"/>
    <cellStyle name="Normal 154 2 4 2" xfId="13349" xr:uid="{00000000-0005-0000-0000-000025340000}"/>
    <cellStyle name="Normal 154 2 4 2 2" xfId="13350" xr:uid="{00000000-0005-0000-0000-000026340000}"/>
    <cellStyle name="Normal 154 2 4 3" xfId="13351" xr:uid="{00000000-0005-0000-0000-000027340000}"/>
    <cellStyle name="Normal 154 2 5" xfId="13352" xr:uid="{00000000-0005-0000-0000-000028340000}"/>
    <cellStyle name="Normal 154 3" xfId="13353" xr:uid="{00000000-0005-0000-0000-000029340000}"/>
    <cellStyle name="Normal 154 3 2" xfId="13354" xr:uid="{00000000-0005-0000-0000-00002A340000}"/>
    <cellStyle name="Normal 154 3 2 2" xfId="13355" xr:uid="{00000000-0005-0000-0000-00002B340000}"/>
    <cellStyle name="Normal 154 3 2 2 2" xfId="13356" xr:uid="{00000000-0005-0000-0000-00002C340000}"/>
    <cellStyle name="Normal 154 3 2 3" xfId="13357" xr:uid="{00000000-0005-0000-0000-00002D340000}"/>
    <cellStyle name="Normal 154 3 2 3 2" xfId="13358" xr:uid="{00000000-0005-0000-0000-00002E340000}"/>
    <cellStyle name="Normal 154 3 2 3 2 2" xfId="13359" xr:uid="{00000000-0005-0000-0000-00002F340000}"/>
    <cellStyle name="Normal 154 3 2 3 3" xfId="13360" xr:uid="{00000000-0005-0000-0000-000030340000}"/>
    <cellStyle name="Normal 154 3 2 4" xfId="13361" xr:uid="{00000000-0005-0000-0000-000031340000}"/>
    <cellStyle name="Normal 154 3 3" xfId="13362" xr:uid="{00000000-0005-0000-0000-000032340000}"/>
    <cellStyle name="Normal 154 3 3 2" xfId="13363" xr:uid="{00000000-0005-0000-0000-000033340000}"/>
    <cellStyle name="Normal 154 3 3 2 2" xfId="13364" xr:uid="{00000000-0005-0000-0000-000034340000}"/>
    <cellStyle name="Normal 154 3 3 3" xfId="13365" xr:uid="{00000000-0005-0000-0000-000035340000}"/>
    <cellStyle name="Normal 154 3 4" xfId="13366" xr:uid="{00000000-0005-0000-0000-000036340000}"/>
    <cellStyle name="Normal 154 3 4 2" xfId="13367" xr:uid="{00000000-0005-0000-0000-000037340000}"/>
    <cellStyle name="Normal 154 3 4 2 2" xfId="13368" xr:uid="{00000000-0005-0000-0000-000038340000}"/>
    <cellStyle name="Normal 154 3 4 3" xfId="13369" xr:uid="{00000000-0005-0000-0000-000039340000}"/>
    <cellStyle name="Normal 154 3 5" xfId="13370" xr:uid="{00000000-0005-0000-0000-00003A340000}"/>
    <cellStyle name="Normal 154 3 5 2" xfId="13371" xr:uid="{00000000-0005-0000-0000-00003B340000}"/>
    <cellStyle name="Normal 154 3 5 2 2" xfId="13372" xr:uid="{00000000-0005-0000-0000-00003C340000}"/>
    <cellStyle name="Normal 154 3 5 3" xfId="13373" xr:uid="{00000000-0005-0000-0000-00003D340000}"/>
    <cellStyle name="Normal 154 3 6" xfId="13374" xr:uid="{00000000-0005-0000-0000-00003E340000}"/>
    <cellStyle name="Normal 154 4" xfId="13375" xr:uid="{00000000-0005-0000-0000-00003F340000}"/>
    <cellStyle name="Normal 154 4 2" xfId="13376" xr:uid="{00000000-0005-0000-0000-000040340000}"/>
    <cellStyle name="Normal 154 4 2 2" xfId="13377" xr:uid="{00000000-0005-0000-0000-000041340000}"/>
    <cellStyle name="Normal 154 4 3" xfId="13378" xr:uid="{00000000-0005-0000-0000-000042340000}"/>
    <cellStyle name="Normal 154 5" xfId="13379" xr:uid="{00000000-0005-0000-0000-000043340000}"/>
    <cellStyle name="Normal 154 5 2" xfId="13380" xr:uid="{00000000-0005-0000-0000-000044340000}"/>
    <cellStyle name="Normal 154 5 2 2" xfId="13381" xr:uid="{00000000-0005-0000-0000-000045340000}"/>
    <cellStyle name="Normal 154 5 3" xfId="13382" xr:uid="{00000000-0005-0000-0000-000046340000}"/>
    <cellStyle name="Normal 154 6" xfId="13383" xr:uid="{00000000-0005-0000-0000-000047340000}"/>
    <cellStyle name="Normal 154 6 2" xfId="13384" xr:uid="{00000000-0005-0000-0000-000048340000}"/>
    <cellStyle name="Normal 154 6 2 2" xfId="13385" xr:uid="{00000000-0005-0000-0000-000049340000}"/>
    <cellStyle name="Normal 154 6 3" xfId="13386" xr:uid="{00000000-0005-0000-0000-00004A340000}"/>
    <cellStyle name="Normal 154 7" xfId="13387" xr:uid="{00000000-0005-0000-0000-00004B340000}"/>
    <cellStyle name="Normal 155" xfId="13388" xr:uid="{00000000-0005-0000-0000-00004C340000}"/>
    <cellStyle name="Normal 155 2" xfId="13389" xr:uid="{00000000-0005-0000-0000-00004D340000}"/>
    <cellStyle name="Normal 155 2 2" xfId="13390" xr:uid="{00000000-0005-0000-0000-00004E340000}"/>
    <cellStyle name="Normal 155 2 2 2" xfId="13391" xr:uid="{00000000-0005-0000-0000-00004F340000}"/>
    <cellStyle name="Normal 155 2 3" xfId="13392" xr:uid="{00000000-0005-0000-0000-000050340000}"/>
    <cellStyle name="Normal 155 2 3 2" xfId="13393" xr:uid="{00000000-0005-0000-0000-000051340000}"/>
    <cellStyle name="Normal 155 2 3 2 2" xfId="13394" xr:uid="{00000000-0005-0000-0000-000052340000}"/>
    <cellStyle name="Normal 155 2 3 3" xfId="13395" xr:uid="{00000000-0005-0000-0000-000053340000}"/>
    <cellStyle name="Normal 155 2 4" xfId="13396" xr:uid="{00000000-0005-0000-0000-000054340000}"/>
    <cellStyle name="Normal 155 2 4 2" xfId="13397" xr:uid="{00000000-0005-0000-0000-000055340000}"/>
    <cellStyle name="Normal 155 2 4 2 2" xfId="13398" xr:uid="{00000000-0005-0000-0000-000056340000}"/>
    <cellStyle name="Normal 155 2 4 3" xfId="13399" xr:uid="{00000000-0005-0000-0000-000057340000}"/>
    <cellStyle name="Normal 155 2 5" xfId="13400" xr:uid="{00000000-0005-0000-0000-000058340000}"/>
    <cellStyle name="Normal 155 3" xfId="13401" xr:uid="{00000000-0005-0000-0000-000059340000}"/>
    <cellStyle name="Normal 155 3 2" xfId="13402" xr:uid="{00000000-0005-0000-0000-00005A340000}"/>
    <cellStyle name="Normal 155 3 2 2" xfId="13403" xr:uid="{00000000-0005-0000-0000-00005B340000}"/>
    <cellStyle name="Normal 155 3 2 2 2" xfId="13404" xr:uid="{00000000-0005-0000-0000-00005C340000}"/>
    <cellStyle name="Normal 155 3 2 3" xfId="13405" xr:uid="{00000000-0005-0000-0000-00005D340000}"/>
    <cellStyle name="Normal 155 3 2 3 2" xfId="13406" xr:uid="{00000000-0005-0000-0000-00005E340000}"/>
    <cellStyle name="Normal 155 3 2 3 2 2" xfId="13407" xr:uid="{00000000-0005-0000-0000-00005F340000}"/>
    <cellStyle name="Normal 155 3 2 3 3" xfId="13408" xr:uid="{00000000-0005-0000-0000-000060340000}"/>
    <cellStyle name="Normal 155 3 2 4" xfId="13409" xr:uid="{00000000-0005-0000-0000-000061340000}"/>
    <cellStyle name="Normal 155 3 3" xfId="13410" xr:uid="{00000000-0005-0000-0000-000062340000}"/>
    <cellStyle name="Normal 155 3 3 2" xfId="13411" xr:uid="{00000000-0005-0000-0000-000063340000}"/>
    <cellStyle name="Normal 155 3 3 2 2" xfId="13412" xr:uid="{00000000-0005-0000-0000-000064340000}"/>
    <cellStyle name="Normal 155 3 3 3" xfId="13413" xr:uid="{00000000-0005-0000-0000-000065340000}"/>
    <cellStyle name="Normal 155 3 4" xfId="13414" xr:uid="{00000000-0005-0000-0000-000066340000}"/>
    <cellStyle name="Normal 155 3 4 2" xfId="13415" xr:uid="{00000000-0005-0000-0000-000067340000}"/>
    <cellStyle name="Normal 155 3 4 2 2" xfId="13416" xr:uid="{00000000-0005-0000-0000-000068340000}"/>
    <cellStyle name="Normal 155 3 4 3" xfId="13417" xr:uid="{00000000-0005-0000-0000-000069340000}"/>
    <cellStyle name="Normal 155 3 5" xfId="13418" xr:uid="{00000000-0005-0000-0000-00006A340000}"/>
    <cellStyle name="Normal 155 3 5 2" xfId="13419" xr:uid="{00000000-0005-0000-0000-00006B340000}"/>
    <cellStyle name="Normal 155 3 5 2 2" xfId="13420" xr:uid="{00000000-0005-0000-0000-00006C340000}"/>
    <cellStyle name="Normal 155 3 5 3" xfId="13421" xr:uid="{00000000-0005-0000-0000-00006D340000}"/>
    <cellStyle name="Normal 155 3 6" xfId="13422" xr:uid="{00000000-0005-0000-0000-00006E340000}"/>
    <cellStyle name="Normal 155 4" xfId="13423" xr:uid="{00000000-0005-0000-0000-00006F340000}"/>
    <cellStyle name="Normal 155 4 2" xfId="13424" xr:uid="{00000000-0005-0000-0000-000070340000}"/>
    <cellStyle name="Normal 155 4 2 2" xfId="13425" xr:uid="{00000000-0005-0000-0000-000071340000}"/>
    <cellStyle name="Normal 155 4 3" xfId="13426" xr:uid="{00000000-0005-0000-0000-000072340000}"/>
    <cellStyle name="Normal 155 5" xfId="13427" xr:uid="{00000000-0005-0000-0000-000073340000}"/>
    <cellStyle name="Normal 155 5 2" xfId="13428" xr:uid="{00000000-0005-0000-0000-000074340000}"/>
    <cellStyle name="Normal 155 5 2 2" xfId="13429" xr:uid="{00000000-0005-0000-0000-000075340000}"/>
    <cellStyle name="Normal 155 5 3" xfId="13430" xr:uid="{00000000-0005-0000-0000-000076340000}"/>
    <cellStyle name="Normal 155 6" xfId="13431" xr:uid="{00000000-0005-0000-0000-000077340000}"/>
    <cellStyle name="Normal 155 6 2" xfId="13432" xr:uid="{00000000-0005-0000-0000-000078340000}"/>
    <cellStyle name="Normal 155 6 2 2" xfId="13433" xr:uid="{00000000-0005-0000-0000-000079340000}"/>
    <cellStyle name="Normal 155 6 3" xfId="13434" xr:uid="{00000000-0005-0000-0000-00007A340000}"/>
    <cellStyle name="Normal 155 7" xfId="13435" xr:uid="{00000000-0005-0000-0000-00007B340000}"/>
    <cellStyle name="Normal 156" xfId="13436" xr:uid="{00000000-0005-0000-0000-00007C340000}"/>
    <cellStyle name="Normal 156 2" xfId="13437" xr:uid="{00000000-0005-0000-0000-00007D340000}"/>
    <cellStyle name="Normal 156 2 2" xfId="13438" xr:uid="{00000000-0005-0000-0000-00007E340000}"/>
    <cellStyle name="Normal 156 2 2 2" xfId="13439" xr:uid="{00000000-0005-0000-0000-00007F340000}"/>
    <cellStyle name="Normal 156 2 3" xfId="13440" xr:uid="{00000000-0005-0000-0000-000080340000}"/>
    <cellStyle name="Normal 156 2 3 2" xfId="13441" xr:uid="{00000000-0005-0000-0000-000081340000}"/>
    <cellStyle name="Normal 156 2 3 2 2" xfId="13442" xr:uid="{00000000-0005-0000-0000-000082340000}"/>
    <cellStyle name="Normal 156 2 3 3" xfId="13443" xr:uid="{00000000-0005-0000-0000-000083340000}"/>
    <cellStyle name="Normal 156 2 4" xfId="13444" xr:uid="{00000000-0005-0000-0000-000084340000}"/>
    <cellStyle name="Normal 156 2 4 2" xfId="13445" xr:uid="{00000000-0005-0000-0000-000085340000}"/>
    <cellStyle name="Normal 156 2 4 2 2" xfId="13446" xr:uid="{00000000-0005-0000-0000-000086340000}"/>
    <cellStyle name="Normal 156 2 4 3" xfId="13447" xr:uid="{00000000-0005-0000-0000-000087340000}"/>
    <cellStyle name="Normal 156 2 5" xfId="13448" xr:uid="{00000000-0005-0000-0000-000088340000}"/>
    <cellStyle name="Normal 156 3" xfId="13449" xr:uid="{00000000-0005-0000-0000-000089340000}"/>
    <cellStyle name="Normal 156 3 2" xfId="13450" xr:uid="{00000000-0005-0000-0000-00008A340000}"/>
    <cellStyle name="Normal 156 3 2 2" xfId="13451" xr:uid="{00000000-0005-0000-0000-00008B340000}"/>
    <cellStyle name="Normal 156 3 2 2 2" xfId="13452" xr:uid="{00000000-0005-0000-0000-00008C340000}"/>
    <cellStyle name="Normal 156 3 2 3" xfId="13453" xr:uid="{00000000-0005-0000-0000-00008D340000}"/>
    <cellStyle name="Normal 156 3 2 3 2" xfId="13454" xr:uid="{00000000-0005-0000-0000-00008E340000}"/>
    <cellStyle name="Normal 156 3 2 3 2 2" xfId="13455" xr:uid="{00000000-0005-0000-0000-00008F340000}"/>
    <cellStyle name="Normal 156 3 2 3 3" xfId="13456" xr:uid="{00000000-0005-0000-0000-000090340000}"/>
    <cellStyle name="Normal 156 3 2 4" xfId="13457" xr:uid="{00000000-0005-0000-0000-000091340000}"/>
    <cellStyle name="Normal 156 3 3" xfId="13458" xr:uid="{00000000-0005-0000-0000-000092340000}"/>
    <cellStyle name="Normal 156 3 3 2" xfId="13459" xr:uid="{00000000-0005-0000-0000-000093340000}"/>
    <cellStyle name="Normal 156 3 3 2 2" xfId="13460" xr:uid="{00000000-0005-0000-0000-000094340000}"/>
    <cellStyle name="Normal 156 3 3 3" xfId="13461" xr:uid="{00000000-0005-0000-0000-000095340000}"/>
    <cellStyle name="Normal 156 3 4" xfId="13462" xr:uid="{00000000-0005-0000-0000-000096340000}"/>
    <cellStyle name="Normal 156 3 4 2" xfId="13463" xr:uid="{00000000-0005-0000-0000-000097340000}"/>
    <cellStyle name="Normal 156 3 4 2 2" xfId="13464" xr:uid="{00000000-0005-0000-0000-000098340000}"/>
    <cellStyle name="Normal 156 3 4 3" xfId="13465" xr:uid="{00000000-0005-0000-0000-000099340000}"/>
    <cellStyle name="Normal 156 3 5" xfId="13466" xr:uid="{00000000-0005-0000-0000-00009A340000}"/>
    <cellStyle name="Normal 156 3 5 2" xfId="13467" xr:uid="{00000000-0005-0000-0000-00009B340000}"/>
    <cellStyle name="Normal 156 3 5 2 2" xfId="13468" xr:uid="{00000000-0005-0000-0000-00009C340000}"/>
    <cellStyle name="Normal 156 3 5 3" xfId="13469" xr:uid="{00000000-0005-0000-0000-00009D340000}"/>
    <cellStyle name="Normal 156 3 6" xfId="13470" xr:uid="{00000000-0005-0000-0000-00009E340000}"/>
    <cellStyle name="Normal 156 4" xfId="13471" xr:uid="{00000000-0005-0000-0000-00009F340000}"/>
    <cellStyle name="Normal 156 4 2" xfId="13472" xr:uid="{00000000-0005-0000-0000-0000A0340000}"/>
    <cellStyle name="Normal 156 4 2 2" xfId="13473" xr:uid="{00000000-0005-0000-0000-0000A1340000}"/>
    <cellStyle name="Normal 156 4 3" xfId="13474" xr:uid="{00000000-0005-0000-0000-0000A2340000}"/>
    <cellStyle name="Normal 156 5" xfId="13475" xr:uid="{00000000-0005-0000-0000-0000A3340000}"/>
    <cellStyle name="Normal 156 5 2" xfId="13476" xr:uid="{00000000-0005-0000-0000-0000A4340000}"/>
    <cellStyle name="Normal 156 5 2 2" xfId="13477" xr:uid="{00000000-0005-0000-0000-0000A5340000}"/>
    <cellStyle name="Normal 156 5 3" xfId="13478" xr:uid="{00000000-0005-0000-0000-0000A6340000}"/>
    <cellStyle name="Normal 156 6" xfId="13479" xr:uid="{00000000-0005-0000-0000-0000A7340000}"/>
    <cellStyle name="Normal 156 6 2" xfId="13480" xr:uid="{00000000-0005-0000-0000-0000A8340000}"/>
    <cellStyle name="Normal 156 6 2 2" xfId="13481" xr:uid="{00000000-0005-0000-0000-0000A9340000}"/>
    <cellStyle name="Normal 156 6 3" xfId="13482" xr:uid="{00000000-0005-0000-0000-0000AA340000}"/>
    <cellStyle name="Normal 156 7" xfId="13483" xr:uid="{00000000-0005-0000-0000-0000AB340000}"/>
    <cellStyle name="Normal 157" xfId="13484" xr:uid="{00000000-0005-0000-0000-0000AC340000}"/>
    <cellStyle name="Normal 157 2" xfId="13485" xr:uid="{00000000-0005-0000-0000-0000AD340000}"/>
    <cellStyle name="Normal 157 2 2" xfId="13486" xr:uid="{00000000-0005-0000-0000-0000AE340000}"/>
    <cellStyle name="Normal 157 2 2 2" xfId="13487" xr:uid="{00000000-0005-0000-0000-0000AF340000}"/>
    <cellStyle name="Normal 157 2 3" xfId="13488" xr:uid="{00000000-0005-0000-0000-0000B0340000}"/>
    <cellStyle name="Normal 157 2 3 2" xfId="13489" xr:uid="{00000000-0005-0000-0000-0000B1340000}"/>
    <cellStyle name="Normal 157 2 3 2 2" xfId="13490" xr:uid="{00000000-0005-0000-0000-0000B2340000}"/>
    <cellStyle name="Normal 157 2 3 3" xfId="13491" xr:uid="{00000000-0005-0000-0000-0000B3340000}"/>
    <cellStyle name="Normal 157 2 4" xfId="13492" xr:uid="{00000000-0005-0000-0000-0000B4340000}"/>
    <cellStyle name="Normal 157 2 4 2" xfId="13493" xr:uid="{00000000-0005-0000-0000-0000B5340000}"/>
    <cellStyle name="Normal 157 2 4 2 2" xfId="13494" xr:uid="{00000000-0005-0000-0000-0000B6340000}"/>
    <cellStyle name="Normal 157 2 4 3" xfId="13495" xr:uid="{00000000-0005-0000-0000-0000B7340000}"/>
    <cellStyle name="Normal 157 2 5" xfId="13496" xr:uid="{00000000-0005-0000-0000-0000B8340000}"/>
    <cellStyle name="Normal 157 3" xfId="13497" xr:uid="{00000000-0005-0000-0000-0000B9340000}"/>
    <cellStyle name="Normal 157 3 2" xfId="13498" xr:uid="{00000000-0005-0000-0000-0000BA340000}"/>
    <cellStyle name="Normal 157 3 2 2" xfId="13499" xr:uid="{00000000-0005-0000-0000-0000BB340000}"/>
    <cellStyle name="Normal 157 3 2 2 2" xfId="13500" xr:uid="{00000000-0005-0000-0000-0000BC340000}"/>
    <cellStyle name="Normal 157 3 2 3" xfId="13501" xr:uid="{00000000-0005-0000-0000-0000BD340000}"/>
    <cellStyle name="Normal 157 3 2 3 2" xfId="13502" xr:uid="{00000000-0005-0000-0000-0000BE340000}"/>
    <cellStyle name="Normal 157 3 2 3 2 2" xfId="13503" xr:uid="{00000000-0005-0000-0000-0000BF340000}"/>
    <cellStyle name="Normal 157 3 2 3 3" xfId="13504" xr:uid="{00000000-0005-0000-0000-0000C0340000}"/>
    <cellStyle name="Normal 157 3 2 4" xfId="13505" xr:uid="{00000000-0005-0000-0000-0000C1340000}"/>
    <cellStyle name="Normal 157 3 3" xfId="13506" xr:uid="{00000000-0005-0000-0000-0000C2340000}"/>
    <cellStyle name="Normal 157 3 3 2" xfId="13507" xr:uid="{00000000-0005-0000-0000-0000C3340000}"/>
    <cellStyle name="Normal 157 3 3 2 2" xfId="13508" xr:uid="{00000000-0005-0000-0000-0000C4340000}"/>
    <cellStyle name="Normal 157 3 3 3" xfId="13509" xr:uid="{00000000-0005-0000-0000-0000C5340000}"/>
    <cellStyle name="Normal 157 3 4" xfId="13510" xr:uid="{00000000-0005-0000-0000-0000C6340000}"/>
    <cellStyle name="Normal 157 3 4 2" xfId="13511" xr:uid="{00000000-0005-0000-0000-0000C7340000}"/>
    <cellStyle name="Normal 157 3 4 2 2" xfId="13512" xr:uid="{00000000-0005-0000-0000-0000C8340000}"/>
    <cellStyle name="Normal 157 3 4 3" xfId="13513" xr:uid="{00000000-0005-0000-0000-0000C9340000}"/>
    <cellStyle name="Normal 157 3 5" xfId="13514" xr:uid="{00000000-0005-0000-0000-0000CA340000}"/>
    <cellStyle name="Normal 157 3 5 2" xfId="13515" xr:uid="{00000000-0005-0000-0000-0000CB340000}"/>
    <cellStyle name="Normal 157 3 5 2 2" xfId="13516" xr:uid="{00000000-0005-0000-0000-0000CC340000}"/>
    <cellStyle name="Normal 157 3 5 3" xfId="13517" xr:uid="{00000000-0005-0000-0000-0000CD340000}"/>
    <cellStyle name="Normal 157 3 6" xfId="13518" xr:uid="{00000000-0005-0000-0000-0000CE340000}"/>
    <cellStyle name="Normal 157 4" xfId="13519" xr:uid="{00000000-0005-0000-0000-0000CF340000}"/>
    <cellStyle name="Normal 157 4 2" xfId="13520" xr:uid="{00000000-0005-0000-0000-0000D0340000}"/>
    <cellStyle name="Normal 157 4 2 2" xfId="13521" xr:uid="{00000000-0005-0000-0000-0000D1340000}"/>
    <cellStyle name="Normal 157 4 3" xfId="13522" xr:uid="{00000000-0005-0000-0000-0000D2340000}"/>
    <cellStyle name="Normal 157 5" xfId="13523" xr:uid="{00000000-0005-0000-0000-0000D3340000}"/>
    <cellStyle name="Normal 157 5 2" xfId="13524" xr:uid="{00000000-0005-0000-0000-0000D4340000}"/>
    <cellStyle name="Normal 157 5 2 2" xfId="13525" xr:uid="{00000000-0005-0000-0000-0000D5340000}"/>
    <cellStyle name="Normal 157 5 3" xfId="13526" xr:uid="{00000000-0005-0000-0000-0000D6340000}"/>
    <cellStyle name="Normal 157 6" xfId="13527" xr:uid="{00000000-0005-0000-0000-0000D7340000}"/>
    <cellStyle name="Normal 157 6 2" xfId="13528" xr:uid="{00000000-0005-0000-0000-0000D8340000}"/>
    <cellStyle name="Normal 157 6 2 2" xfId="13529" xr:uid="{00000000-0005-0000-0000-0000D9340000}"/>
    <cellStyle name="Normal 157 6 3" xfId="13530" xr:uid="{00000000-0005-0000-0000-0000DA340000}"/>
    <cellStyle name="Normal 157 7" xfId="13531" xr:uid="{00000000-0005-0000-0000-0000DB340000}"/>
    <cellStyle name="Normal 158" xfId="13532" xr:uid="{00000000-0005-0000-0000-0000DC340000}"/>
    <cellStyle name="Normal 158 2" xfId="13533" xr:uid="{00000000-0005-0000-0000-0000DD340000}"/>
    <cellStyle name="Normal 158 2 2" xfId="13534" xr:uid="{00000000-0005-0000-0000-0000DE340000}"/>
    <cellStyle name="Normal 158 2 2 2" xfId="13535" xr:uid="{00000000-0005-0000-0000-0000DF340000}"/>
    <cellStyle name="Normal 158 2 3" xfId="13536" xr:uid="{00000000-0005-0000-0000-0000E0340000}"/>
    <cellStyle name="Normal 158 2 3 2" xfId="13537" xr:uid="{00000000-0005-0000-0000-0000E1340000}"/>
    <cellStyle name="Normal 158 2 3 2 2" xfId="13538" xr:uid="{00000000-0005-0000-0000-0000E2340000}"/>
    <cellStyle name="Normal 158 2 3 3" xfId="13539" xr:uid="{00000000-0005-0000-0000-0000E3340000}"/>
    <cellStyle name="Normal 158 2 4" xfId="13540" xr:uid="{00000000-0005-0000-0000-0000E4340000}"/>
    <cellStyle name="Normal 158 2 4 2" xfId="13541" xr:uid="{00000000-0005-0000-0000-0000E5340000}"/>
    <cellStyle name="Normal 158 2 4 2 2" xfId="13542" xr:uid="{00000000-0005-0000-0000-0000E6340000}"/>
    <cellStyle name="Normal 158 2 4 3" xfId="13543" xr:uid="{00000000-0005-0000-0000-0000E7340000}"/>
    <cellStyle name="Normal 158 2 5" xfId="13544" xr:uid="{00000000-0005-0000-0000-0000E8340000}"/>
    <cellStyle name="Normal 158 3" xfId="13545" xr:uid="{00000000-0005-0000-0000-0000E9340000}"/>
    <cellStyle name="Normal 158 3 2" xfId="13546" xr:uid="{00000000-0005-0000-0000-0000EA340000}"/>
    <cellStyle name="Normal 158 3 2 2" xfId="13547" xr:uid="{00000000-0005-0000-0000-0000EB340000}"/>
    <cellStyle name="Normal 158 3 2 2 2" xfId="13548" xr:uid="{00000000-0005-0000-0000-0000EC340000}"/>
    <cellStyle name="Normal 158 3 2 3" xfId="13549" xr:uid="{00000000-0005-0000-0000-0000ED340000}"/>
    <cellStyle name="Normal 158 3 2 3 2" xfId="13550" xr:uid="{00000000-0005-0000-0000-0000EE340000}"/>
    <cellStyle name="Normal 158 3 2 3 2 2" xfId="13551" xr:uid="{00000000-0005-0000-0000-0000EF340000}"/>
    <cellStyle name="Normal 158 3 2 3 3" xfId="13552" xr:uid="{00000000-0005-0000-0000-0000F0340000}"/>
    <cellStyle name="Normal 158 3 2 4" xfId="13553" xr:uid="{00000000-0005-0000-0000-0000F1340000}"/>
    <cellStyle name="Normal 158 3 3" xfId="13554" xr:uid="{00000000-0005-0000-0000-0000F2340000}"/>
    <cellStyle name="Normal 158 3 3 2" xfId="13555" xr:uid="{00000000-0005-0000-0000-0000F3340000}"/>
    <cellStyle name="Normal 158 3 3 2 2" xfId="13556" xr:uid="{00000000-0005-0000-0000-0000F4340000}"/>
    <cellStyle name="Normal 158 3 3 3" xfId="13557" xr:uid="{00000000-0005-0000-0000-0000F5340000}"/>
    <cellStyle name="Normal 158 3 4" xfId="13558" xr:uid="{00000000-0005-0000-0000-0000F6340000}"/>
    <cellStyle name="Normal 158 3 4 2" xfId="13559" xr:uid="{00000000-0005-0000-0000-0000F7340000}"/>
    <cellStyle name="Normal 158 3 4 2 2" xfId="13560" xr:uid="{00000000-0005-0000-0000-0000F8340000}"/>
    <cellStyle name="Normal 158 3 4 3" xfId="13561" xr:uid="{00000000-0005-0000-0000-0000F9340000}"/>
    <cellStyle name="Normal 158 3 5" xfId="13562" xr:uid="{00000000-0005-0000-0000-0000FA340000}"/>
    <cellStyle name="Normal 158 3 5 2" xfId="13563" xr:uid="{00000000-0005-0000-0000-0000FB340000}"/>
    <cellStyle name="Normal 158 3 5 2 2" xfId="13564" xr:uid="{00000000-0005-0000-0000-0000FC340000}"/>
    <cellStyle name="Normal 158 3 5 3" xfId="13565" xr:uid="{00000000-0005-0000-0000-0000FD340000}"/>
    <cellStyle name="Normal 158 3 6" xfId="13566" xr:uid="{00000000-0005-0000-0000-0000FE340000}"/>
    <cellStyle name="Normal 158 4" xfId="13567" xr:uid="{00000000-0005-0000-0000-0000FF340000}"/>
    <cellStyle name="Normal 158 4 2" xfId="13568" xr:uid="{00000000-0005-0000-0000-000000350000}"/>
    <cellStyle name="Normal 158 4 2 2" xfId="13569" xr:uid="{00000000-0005-0000-0000-000001350000}"/>
    <cellStyle name="Normal 158 4 3" xfId="13570" xr:uid="{00000000-0005-0000-0000-000002350000}"/>
    <cellStyle name="Normal 158 5" xfId="13571" xr:uid="{00000000-0005-0000-0000-000003350000}"/>
    <cellStyle name="Normal 158 5 2" xfId="13572" xr:uid="{00000000-0005-0000-0000-000004350000}"/>
    <cellStyle name="Normal 158 5 2 2" xfId="13573" xr:uid="{00000000-0005-0000-0000-000005350000}"/>
    <cellStyle name="Normal 158 5 3" xfId="13574" xr:uid="{00000000-0005-0000-0000-000006350000}"/>
    <cellStyle name="Normal 158 6" xfId="13575" xr:uid="{00000000-0005-0000-0000-000007350000}"/>
    <cellStyle name="Normal 158 6 2" xfId="13576" xr:uid="{00000000-0005-0000-0000-000008350000}"/>
    <cellStyle name="Normal 158 6 2 2" xfId="13577" xr:uid="{00000000-0005-0000-0000-000009350000}"/>
    <cellStyle name="Normal 158 6 3" xfId="13578" xr:uid="{00000000-0005-0000-0000-00000A350000}"/>
    <cellStyle name="Normal 158 7" xfId="13579" xr:uid="{00000000-0005-0000-0000-00000B350000}"/>
    <cellStyle name="Normal 159" xfId="13580" xr:uid="{00000000-0005-0000-0000-00000C350000}"/>
    <cellStyle name="Normal 159 2" xfId="13581" xr:uid="{00000000-0005-0000-0000-00000D350000}"/>
    <cellStyle name="Normal 159 2 2" xfId="13582" xr:uid="{00000000-0005-0000-0000-00000E350000}"/>
    <cellStyle name="Normal 159 2 2 2" xfId="13583" xr:uid="{00000000-0005-0000-0000-00000F350000}"/>
    <cellStyle name="Normal 159 2 3" xfId="13584" xr:uid="{00000000-0005-0000-0000-000010350000}"/>
    <cellStyle name="Normal 159 2 3 2" xfId="13585" xr:uid="{00000000-0005-0000-0000-000011350000}"/>
    <cellStyle name="Normal 159 2 3 2 2" xfId="13586" xr:uid="{00000000-0005-0000-0000-000012350000}"/>
    <cellStyle name="Normal 159 2 3 3" xfId="13587" xr:uid="{00000000-0005-0000-0000-000013350000}"/>
    <cellStyle name="Normal 159 2 4" xfId="13588" xr:uid="{00000000-0005-0000-0000-000014350000}"/>
    <cellStyle name="Normal 159 2 4 2" xfId="13589" xr:uid="{00000000-0005-0000-0000-000015350000}"/>
    <cellStyle name="Normal 159 2 4 2 2" xfId="13590" xr:uid="{00000000-0005-0000-0000-000016350000}"/>
    <cellStyle name="Normal 159 2 4 3" xfId="13591" xr:uid="{00000000-0005-0000-0000-000017350000}"/>
    <cellStyle name="Normal 159 2 5" xfId="13592" xr:uid="{00000000-0005-0000-0000-000018350000}"/>
    <cellStyle name="Normal 159 3" xfId="13593" xr:uid="{00000000-0005-0000-0000-000019350000}"/>
    <cellStyle name="Normal 159 3 2" xfId="13594" xr:uid="{00000000-0005-0000-0000-00001A350000}"/>
    <cellStyle name="Normal 159 3 2 2" xfId="13595" xr:uid="{00000000-0005-0000-0000-00001B350000}"/>
    <cellStyle name="Normal 159 3 2 2 2" xfId="13596" xr:uid="{00000000-0005-0000-0000-00001C350000}"/>
    <cellStyle name="Normal 159 3 2 3" xfId="13597" xr:uid="{00000000-0005-0000-0000-00001D350000}"/>
    <cellStyle name="Normal 159 3 2 3 2" xfId="13598" xr:uid="{00000000-0005-0000-0000-00001E350000}"/>
    <cellStyle name="Normal 159 3 2 3 2 2" xfId="13599" xr:uid="{00000000-0005-0000-0000-00001F350000}"/>
    <cellStyle name="Normal 159 3 2 3 3" xfId="13600" xr:uid="{00000000-0005-0000-0000-000020350000}"/>
    <cellStyle name="Normal 159 3 2 4" xfId="13601" xr:uid="{00000000-0005-0000-0000-000021350000}"/>
    <cellStyle name="Normal 159 3 3" xfId="13602" xr:uid="{00000000-0005-0000-0000-000022350000}"/>
    <cellStyle name="Normal 159 3 3 2" xfId="13603" xr:uid="{00000000-0005-0000-0000-000023350000}"/>
    <cellStyle name="Normal 159 3 3 2 2" xfId="13604" xr:uid="{00000000-0005-0000-0000-000024350000}"/>
    <cellStyle name="Normal 159 3 3 3" xfId="13605" xr:uid="{00000000-0005-0000-0000-000025350000}"/>
    <cellStyle name="Normal 159 3 4" xfId="13606" xr:uid="{00000000-0005-0000-0000-000026350000}"/>
    <cellStyle name="Normal 159 3 4 2" xfId="13607" xr:uid="{00000000-0005-0000-0000-000027350000}"/>
    <cellStyle name="Normal 159 3 4 2 2" xfId="13608" xr:uid="{00000000-0005-0000-0000-000028350000}"/>
    <cellStyle name="Normal 159 3 4 3" xfId="13609" xr:uid="{00000000-0005-0000-0000-000029350000}"/>
    <cellStyle name="Normal 159 3 5" xfId="13610" xr:uid="{00000000-0005-0000-0000-00002A350000}"/>
    <cellStyle name="Normal 159 3 5 2" xfId="13611" xr:uid="{00000000-0005-0000-0000-00002B350000}"/>
    <cellStyle name="Normal 159 3 5 2 2" xfId="13612" xr:uid="{00000000-0005-0000-0000-00002C350000}"/>
    <cellStyle name="Normal 159 3 5 3" xfId="13613" xr:uid="{00000000-0005-0000-0000-00002D350000}"/>
    <cellStyle name="Normal 159 3 6" xfId="13614" xr:uid="{00000000-0005-0000-0000-00002E350000}"/>
    <cellStyle name="Normal 159 4" xfId="13615" xr:uid="{00000000-0005-0000-0000-00002F350000}"/>
    <cellStyle name="Normal 159 4 2" xfId="13616" xr:uid="{00000000-0005-0000-0000-000030350000}"/>
    <cellStyle name="Normal 159 4 2 2" xfId="13617" xr:uid="{00000000-0005-0000-0000-000031350000}"/>
    <cellStyle name="Normal 159 4 3" xfId="13618" xr:uid="{00000000-0005-0000-0000-000032350000}"/>
    <cellStyle name="Normal 159 5" xfId="13619" xr:uid="{00000000-0005-0000-0000-000033350000}"/>
    <cellStyle name="Normal 159 5 2" xfId="13620" xr:uid="{00000000-0005-0000-0000-000034350000}"/>
    <cellStyle name="Normal 159 5 2 2" xfId="13621" xr:uid="{00000000-0005-0000-0000-000035350000}"/>
    <cellStyle name="Normal 159 5 3" xfId="13622" xr:uid="{00000000-0005-0000-0000-000036350000}"/>
    <cellStyle name="Normal 159 6" xfId="13623" xr:uid="{00000000-0005-0000-0000-000037350000}"/>
    <cellStyle name="Normal 159 6 2" xfId="13624" xr:uid="{00000000-0005-0000-0000-000038350000}"/>
    <cellStyle name="Normal 159 6 2 2" xfId="13625" xr:uid="{00000000-0005-0000-0000-000039350000}"/>
    <cellStyle name="Normal 159 6 3" xfId="13626" xr:uid="{00000000-0005-0000-0000-00003A350000}"/>
    <cellStyle name="Normal 159 7" xfId="13627" xr:uid="{00000000-0005-0000-0000-00003B350000}"/>
    <cellStyle name="Normal 16" xfId="63" xr:uid="{00000000-0005-0000-0000-00003F000000}"/>
    <cellStyle name="Normal 16 2" xfId="13628" xr:uid="{00000000-0005-0000-0000-00003C350000}"/>
    <cellStyle name="Normal 16 2 2" xfId="13629" xr:uid="{00000000-0005-0000-0000-00003D350000}"/>
    <cellStyle name="Normal 16 2 2 2" xfId="13630" xr:uid="{00000000-0005-0000-0000-00003E350000}"/>
    <cellStyle name="Normal 16 2 2 2 2" xfId="13631" xr:uid="{00000000-0005-0000-0000-00003F350000}"/>
    <cellStyle name="Normal 16 2 2 3" xfId="13632" xr:uid="{00000000-0005-0000-0000-000040350000}"/>
    <cellStyle name="Normal 16 2 2 3 2" xfId="13633" xr:uid="{00000000-0005-0000-0000-000041350000}"/>
    <cellStyle name="Normal 16 2 2 3 2 2" xfId="13634" xr:uid="{00000000-0005-0000-0000-000042350000}"/>
    <cellStyle name="Normal 16 2 2 3 3" xfId="13635" xr:uid="{00000000-0005-0000-0000-000043350000}"/>
    <cellStyle name="Normal 16 2 2 4" xfId="13636" xr:uid="{00000000-0005-0000-0000-000044350000}"/>
    <cellStyle name="Normal 16 2 2 4 2" xfId="13637" xr:uid="{00000000-0005-0000-0000-000045350000}"/>
    <cellStyle name="Normal 16 2 2 4 2 2" xfId="13638" xr:uid="{00000000-0005-0000-0000-000046350000}"/>
    <cellStyle name="Normal 16 2 2 4 3" xfId="13639" xr:uid="{00000000-0005-0000-0000-000047350000}"/>
    <cellStyle name="Normal 16 2 2 5" xfId="13640" xr:uid="{00000000-0005-0000-0000-000048350000}"/>
    <cellStyle name="Normal 16 2 3" xfId="13641" xr:uid="{00000000-0005-0000-0000-000049350000}"/>
    <cellStyle name="Normal 16 2 3 2" xfId="13642" xr:uid="{00000000-0005-0000-0000-00004A350000}"/>
    <cellStyle name="Normal 16 2 3 2 2" xfId="13643" xr:uid="{00000000-0005-0000-0000-00004B350000}"/>
    <cellStyle name="Normal 16 2 3 2 2 2" xfId="13644" xr:uid="{00000000-0005-0000-0000-00004C350000}"/>
    <cellStyle name="Normal 16 2 3 2 3" xfId="13645" xr:uid="{00000000-0005-0000-0000-00004D350000}"/>
    <cellStyle name="Normal 16 2 3 2 3 2" xfId="13646" xr:uid="{00000000-0005-0000-0000-00004E350000}"/>
    <cellStyle name="Normal 16 2 3 2 3 2 2" xfId="13647" xr:uid="{00000000-0005-0000-0000-00004F350000}"/>
    <cellStyle name="Normal 16 2 3 2 3 3" xfId="13648" xr:uid="{00000000-0005-0000-0000-000050350000}"/>
    <cellStyle name="Normal 16 2 3 2 4" xfId="13649" xr:uid="{00000000-0005-0000-0000-000051350000}"/>
    <cellStyle name="Normal 16 2 3 3" xfId="13650" xr:uid="{00000000-0005-0000-0000-000052350000}"/>
    <cellStyle name="Normal 16 2 3 3 2" xfId="13651" xr:uid="{00000000-0005-0000-0000-000053350000}"/>
    <cellStyle name="Normal 16 2 3 3 2 2" xfId="13652" xr:uid="{00000000-0005-0000-0000-000054350000}"/>
    <cellStyle name="Normal 16 2 3 3 3" xfId="13653" xr:uid="{00000000-0005-0000-0000-000055350000}"/>
    <cellStyle name="Normal 16 2 3 4" xfId="13654" xr:uid="{00000000-0005-0000-0000-000056350000}"/>
    <cellStyle name="Normal 16 2 3 4 2" xfId="13655" xr:uid="{00000000-0005-0000-0000-000057350000}"/>
    <cellStyle name="Normal 16 2 3 4 2 2" xfId="13656" xr:uid="{00000000-0005-0000-0000-000058350000}"/>
    <cellStyle name="Normal 16 2 3 4 3" xfId="13657" xr:uid="{00000000-0005-0000-0000-000059350000}"/>
    <cellStyle name="Normal 16 2 3 5" xfId="13658" xr:uid="{00000000-0005-0000-0000-00005A350000}"/>
    <cellStyle name="Normal 16 2 3 5 2" xfId="13659" xr:uid="{00000000-0005-0000-0000-00005B350000}"/>
    <cellStyle name="Normal 16 2 3 5 2 2" xfId="13660" xr:uid="{00000000-0005-0000-0000-00005C350000}"/>
    <cellStyle name="Normal 16 2 3 5 3" xfId="13661" xr:uid="{00000000-0005-0000-0000-00005D350000}"/>
    <cellStyle name="Normal 16 2 3 6" xfId="13662" xr:uid="{00000000-0005-0000-0000-00005E350000}"/>
    <cellStyle name="Normal 16 2 4" xfId="13663" xr:uid="{00000000-0005-0000-0000-00005F350000}"/>
    <cellStyle name="Normal 16 3" xfId="13664" xr:uid="{00000000-0005-0000-0000-000060350000}"/>
    <cellStyle name="Normal 16 3 2" xfId="13665" xr:uid="{00000000-0005-0000-0000-000061350000}"/>
    <cellStyle name="Normal 16 3 2 2" xfId="13666" xr:uid="{00000000-0005-0000-0000-000062350000}"/>
    <cellStyle name="Normal 16 3 2 2 2" xfId="13667" xr:uid="{00000000-0005-0000-0000-000063350000}"/>
    <cellStyle name="Normal 16 3 2 3" xfId="13668" xr:uid="{00000000-0005-0000-0000-000064350000}"/>
    <cellStyle name="Normal 16 3 2 3 2" xfId="13669" xr:uid="{00000000-0005-0000-0000-000065350000}"/>
    <cellStyle name="Normal 16 3 2 3 2 2" xfId="13670" xr:uid="{00000000-0005-0000-0000-000066350000}"/>
    <cellStyle name="Normal 16 3 2 3 3" xfId="13671" xr:uid="{00000000-0005-0000-0000-000067350000}"/>
    <cellStyle name="Normal 16 3 2 4" xfId="13672" xr:uid="{00000000-0005-0000-0000-000068350000}"/>
    <cellStyle name="Normal 16 3 2 4 2" xfId="13673" xr:uid="{00000000-0005-0000-0000-000069350000}"/>
    <cellStyle name="Normal 16 3 2 4 2 2" xfId="13674" xr:uid="{00000000-0005-0000-0000-00006A350000}"/>
    <cellStyle name="Normal 16 3 2 4 3" xfId="13675" xr:uid="{00000000-0005-0000-0000-00006B350000}"/>
    <cellStyle name="Normal 16 3 2 5" xfId="13676" xr:uid="{00000000-0005-0000-0000-00006C350000}"/>
    <cellStyle name="Normal 16 3 3" xfId="13677" xr:uid="{00000000-0005-0000-0000-00006D350000}"/>
    <cellStyle name="Normal 16 3 3 2" xfId="13678" xr:uid="{00000000-0005-0000-0000-00006E350000}"/>
    <cellStyle name="Normal 16 3 3 2 2" xfId="13679" xr:uid="{00000000-0005-0000-0000-00006F350000}"/>
    <cellStyle name="Normal 16 3 3 3" xfId="13680" xr:uid="{00000000-0005-0000-0000-000070350000}"/>
    <cellStyle name="Normal 16 3 4" xfId="13681" xr:uid="{00000000-0005-0000-0000-000071350000}"/>
    <cellStyle name="Normal 16 3 4 2" xfId="13682" xr:uid="{00000000-0005-0000-0000-000072350000}"/>
    <cellStyle name="Normal 16 3 4 2 2" xfId="13683" xr:uid="{00000000-0005-0000-0000-000073350000}"/>
    <cellStyle name="Normal 16 3 4 3" xfId="13684" xr:uid="{00000000-0005-0000-0000-000074350000}"/>
    <cellStyle name="Normal 16 3 5" xfId="13685" xr:uid="{00000000-0005-0000-0000-000075350000}"/>
    <cellStyle name="Normal 16 3 5 2" xfId="13686" xr:uid="{00000000-0005-0000-0000-000076350000}"/>
    <cellStyle name="Normal 16 3 5 2 2" xfId="13687" xr:uid="{00000000-0005-0000-0000-000077350000}"/>
    <cellStyle name="Normal 16 3 5 3" xfId="13688" xr:uid="{00000000-0005-0000-0000-000078350000}"/>
    <cellStyle name="Normal 16 3 6" xfId="13689" xr:uid="{00000000-0005-0000-0000-000079350000}"/>
    <cellStyle name="Normal 16 4" xfId="13690" xr:uid="{00000000-0005-0000-0000-00007A350000}"/>
    <cellStyle name="Normal 16 4 2" xfId="13691" xr:uid="{00000000-0005-0000-0000-00007B350000}"/>
    <cellStyle name="Normal 16 4 2 2" xfId="13692" xr:uid="{00000000-0005-0000-0000-00007C350000}"/>
    <cellStyle name="Normal 16 4 3" xfId="13693" xr:uid="{00000000-0005-0000-0000-00007D350000}"/>
    <cellStyle name="Normal 16 4 3 2" xfId="13694" xr:uid="{00000000-0005-0000-0000-00007E350000}"/>
    <cellStyle name="Normal 16 4 3 2 2" xfId="13695" xr:uid="{00000000-0005-0000-0000-00007F350000}"/>
    <cellStyle name="Normal 16 4 3 3" xfId="13696" xr:uid="{00000000-0005-0000-0000-000080350000}"/>
    <cellStyle name="Normal 16 4 4" xfId="13697" xr:uid="{00000000-0005-0000-0000-000081350000}"/>
    <cellStyle name="Normal 16 4 4 2" xfId="13698" xr:uid="{00000000-0005-0000-0000-000082350000}"/>
    <cellStyle name="Normal 16 4 4 2 2" xfId="13699" xr:uid="{00000000-0005-0000-0000-000083350000}"/>
    <cellStyle name="Normal 16 4 4 3" xfId="13700" xr:uid="{00000000-0005-0000-0000-000084350000}"/>
    <cellStyle name="Normal 16 4 5" xfId="13701" xr:uid="{00000000-0005-0000-0000-000085350000}"/>
    <cellStyle name="Normal 16 5" xfId="13702" xr:uid="{00000000-0005-0000-0000-000086350000}"/>
    <cellStyle name="Normal 16 5 2" xfId="13703" xr:uid="{00000000-0005-0000-0000-000087350000}"/>
    <cellStyle name="Normal 16 5 2 2" xfId="13704" xr:uid="{00000000-0005-0000-0000-000088350000}"/>
    <cellStyle name="Normal 16 5 2 2 2" xfId="13705" xr:uid="{00000000-0005-0000-0000-000089350000}"/>
    <cellStyle name="Normal 16 5 2 3" xfId="13706" xr:uid="{00000000-0005-0000-0000-00008A350000}"/>
    <cellStyle name="Normal 16 5 2 3 2" xfId="13707" xr:uid="{00000000-0005-0000-0000-00008B350000}"/>
    <cellStyle name="Normal 16 5 2 3 2 2" xfId="13708" xr:uid="{00000000-0005-0000-0000-00008C350000}"/>
    <cellStyle name="Normal 16 5 2 3 3" xfId="13709" xr:uid="{00000000-0005-0000-0000-00008D350000}"/>
    <cellStyle name="Normal 16 5 2 4" xfId="13710" xr:uid="{00000000-0005-0000-0000-00008E350000}"/>
    <cellStyle name="Normal 16 5 3" xfId="13711" xr:uid="{00000000-0005-0000-0000-00008F350000}"/>
    <cellStyle name="Normal 16 5 3 2" xfId="13712" xr:uid="{00000000-0005-0000-0000-000090350000}"/>
    <cellStyle name="Normal 16 5 3 2 2" xfId="13713" xr:uid="{00000000-0005-0000-0000-000091350000}"/>
    <cellStyle name="Normal 16 5 3 3" xfId="13714" xr:uid="{00000000-0005-0000-0000-000092350000}"/>
    <cellStyle name="Normal 16 5 4" xfId="13715" xr:uid="{00000000-0005-0000-0000-000093350000}"/>
    <cellStyle name="Normal 16 5 4 2" xfId="13716" xr:uid="{00000000-0005-0000-0000-000094350000}"/>
    <cellStyle name="Normal 16 5 4 2 2" xfId="13717" xr:uid="{00000000-0005-0000-0000-000095350000}"/>
    <cellStyle name="Normal 16 5 4 3" xfId="13718" xr:uid="{00000000-0005-0000-0000-000096350000}"/>
    <cellStyle name="Normal 16 5 5" xfId="13719" xr:uid="{00000000-0005-0000-0000-000097350000}"/>
    <cellStyle name="Normal 16 5 5 2" xfId="13720" xr:uid="{00000000-0005-0000-0000-000098350000}"/>
    <cellStyle name="Normal 16 5 5 2 2" xfId="13721" xr:uid="{00000000-0005-0000-0000-000099350000}"/>
    <cellStyle name="Normal 16 5 5 3" xfId="13722" xr:uid="{00000000-0005-0000-0000-00009A350000}"/>
    <cellStyle name="Normal 16 5 6" xfId="13723" xr:uid="{00000000-0005-0000-0000-00009B350000}"/>
    <cellStyle name="Normal 16 6" xfId="13724" xr:uid="{00000000-0005-0000-0000-00009C350000}"/>
    <cellStyle name="Normal 16 7" xfId="13725" xr:uid="{00000000-0005-0000-0000-00009D350000}"/>
    <cellStyle name="Normal 160" xfId="13726" xr:uid="{00000000-0005-0000-0000-00009E350000}"/>
    <cellStyle name="Normal 160 2" xfId="13727" xr:uid="{00000000-0005-0000-0000-00009F350000}"/>
    <cellStyle name="Normal 160 2 2" xfId="13728" xr:uid="{00000000-0005-0000-0000-0000A0350000}"/>
    <cellStyle name="Normal 160 2 2 2" xfId="13729" xr:uid="{00000000-0005-0000-0000-0000A1350000}"/>
    <cellStyle name="Normal 160 2 3" xfId="13730" xr:uid="{00000000-0005-0000-0000-0000A2350000}"/>
    <cellStyle name="Normal 160 2 3 2" xfId="13731" xr:uid="{00000000-0005-0000-0000-0000A3350000}"/>
    <cellStyle name="Normal 160 2 3 2 2" xfId="13732" xr:uid="{00000000-0005-0000-0000-0000A4350000}"/>
    <cellStyle name="Normal 160 2 3 3" xfId="13733" xr:uid="{00000000-0005-0000-0000-0000A5350000}"/>
    <cellStyle name="Normal 160 2 4" xfId="13734" xr:uid="{00000000-0005-0000-0000-0000A6350000}"/>
    <cellStyle name="Normal 160 2 4 2" xfId="13735" xr:uid="{00000000-0005-0000-0000-0000A7350000}"/>
    <cellStyle name="Normal 160 2 4 2 2" xfId="13736" xr:uid="{00000000-0005-0000-0000-0000A8350000}"/>
    <cellStyle name="Normal 160 2 4 3" xfId="13737" xr:uid="{00000000-0005-0000-0000-0000A9350000}"/>
    <cellStyle name="Normal 160 2 5" xfId="13738" xr:uid="{00000000-0005-0000-0000-0000AA350000}"/>
    <cellStyle name="Normal 160 3" xfId="13739" xr:uid="{00000000-0005-0000-0000-0000AB350000}"/>
    <cellStyle name="Normal 160 3 2" xfId="13740" xr:uid="{00000000-0005-0000-0000-0000AC350000}"/>
    <cellStyle name="Normal 160 3 2 2" xfId="13741" xr:uid="{00000000-0005-0000-0000-0000AD350000}"/>
    <cellStyle name="Normal 160 3 2 2 2" xfId="13742" xr:uid="{00000000-0005-0000-0000-0000AE350000}"/>
    <cellStyle name="Normal 160 3 2 3" xfId="13743" xr:uid="{00000000-0005-0000-0000-0000AF350000}"/>
    <cellStyle name="Normal 160 3 2 3 2" xfId="13744" xr:uid="{00000000-0005-0000-0000-0000B0350000}"/>
    <cellStyle name="Normal 160 3 2 3 2 2" xfId="13745" xr:uid="{00000000-0005-0000-0000-0000B1350000}"/>
    <cellStyle name="Normal 160 3 2 3 3" xfId="13746" xr:uid="{00000000-0005-0000-0000-0000B2350000}"/>
    <cellStyle name="Normal 160 3 2 4" xfId="13747" xr:uid="{00000000-0005-0000-0000-0000B3350000}"/>
    <cellStyle name="Normal 160 3 3" xfId="13748" xr:uid="{00000000-0005-0000-0000-0000B4350000}"/>
    <cellStyle name="Normal 160 3 3 2" xfId="13749" xr:uid="{00000000-0005-0000-0000-0000B5350000}"/>
    <cellStyle name="Normal 160 3 3 2 2" xfId="13750" xr:uid="{00000000-0005-0000-0000-0000B6350000}"/>
    <cellStyle name="Normal 160 3 3 3" xfId="13751" xr:uid="{00000000-0005-0000-0000-0000B7350000}"/>
    <cellStyle name="Normal 160 3 4" xfId="13752" xr:uid="{00000000-0005-0000-0000-0000B8350000}"/>
    <cellStyle name="Normal 160 3 4 2" xfId="13753" xr:uid="{00000000-0005-0000-0000-0000B9350000}"/>
    <cellStyle name="Normal 160 3 4 2 2" xfId="13754" xr:uid="{00000000-0005-0000-0000-0000BA350000}"/>
    <cellStyle name="Normal 160 3 4 3" xfId="13755" xr:uid="{00000000-0005-0000-0000-0000BB350000}"/>
    <cellStyle name="Normal 160 3 5" xfId="13756" xr:uid="{00000000-0005-0000-0000-0000BC350000}"/>
    <cellStyle name="Normal 160 3 5 2" xfId="13757" xr:uid="{00000000-0005-0000-0000-0000BD350000}"/>
    <cellStyle name="Normal 160 3 5 2 2" xfId="13758" xr:uid="{00000000-0005-0000-0000-0000BE350000}"/>
    <cellStyle name="Normal 160 3 5 3" xfId="13759" xr:uid="{00000000-0005-0000-0000-0000BF350000}"/>
    <cellStyle name="Normal 160 3 6" xfId="13760" xr:uid="{00000000-0005-0000-0000-0000C0350000}"/>
    <cellStyle name="Normal 160 4" xfId="13761" xr:uid="{00000000-0005-0000-0000-0000C1350000}"/>
    <cellStyle name="Normal 160 4 2" xfId="13762" xr:uid="{00000000-0005-0000-0000-0000C2350000}"/>
    <cellStyle name="Normal 160 4 2 2" xfId="13763" xr:uid="{00000000-0005-0000-0000-0000C3350000}"/>
    <cellStyle name="Normal 160 4 3" xfId="13764" xr:uid="{00000000-0005-0000-0000-0000C4350000}"/>
    <cellStyle name="Normal 160 5" xfId="13765" xr:uid="{00000000-0005-0000-0000-0000C5350000}"/>
    <cellStyle name="Normal 160 5 2" xfId="13766" xr:uid="{00000000-0005-0000-0000-0000C6350000}"/>
    <cellStyle name="Normal 160 5 2 2" xfId="13767" xr:uid="{00000000-0005-0000-0000-0000C7350000}"/>
    <cellStyle name="Normal 160 5 3" xfId="13768" xr:uid="{00000000-0005-0000-0000-0000C8350000}"/>
    <cellStyle name="Normal 160 6" xfId="13769" xr:uid="{00000000-0005-0000-0000-0000C9350000}"/>
    <cellStyle name="Normal 160 6 2" xfId="13770" xr:uid="{00000000-0005-0000-0000-0000CA350000}"/>
    <cellStyle name="Normal 160 6 2 2" xfId="13771" xr:uid="{00000000-0005-0000-0000-0000CB350000}"/>
    <cellStyle name="Normal 160 6 3" xfId="13772" xr:uid="{00000000-0005-0000-0000-0000CC350000}"/>
    <cellStyle name="Normal 160 7" xfId="13773" xr:uid="{00000000-0005-0000-0000-0000CD350000}"/>
    <cellStyle name="Normal 161" xfId="13774" xr:uid="{00000000-0005-0000-0000-0000CE350000}"/>
    <cellStyle name="Normal 161 2" xfId="13775" xr:uid="{00000000-0005-0000-0000-0000CF350000}"/>
    <cellStyle name="Normal 161 2 2" xfId="13776" xr:uid="{00000000-0005-0000-0000-0000D0350000}"/>
    <cellStyle name="Normal 161 2 2 2" xfId="13777" xr:uid="{00000000-0005-0000-0000-0000D1350000}"/>
    <cellStyle name="Normal 161 2 3" xfId="13778" xr:uid="{00000000-0005-0000-0000-0000D2350000}"/>
    <cellStyle name="Normal 161 2 3 2" xfId="13779" xr:uid="{00000000-0005-0000-0000-0000D3350000}"/>
    <cellStyle name="Normal 161 2 3 2 2" xfId="13780" xr:uid="{00000000-0005-0000-0000-0000D4350000}"/>
    <cellStyle name="Normal 161 2 3 3" xfId="13781" xr:uid="{00000000-0005-0000-0000-0000D5350000}"/>
    <cellStyle name="Normal 161 2 4" xfId="13782" xr:uid="{00000000-0005-0000-0000-0000D6350000}"/>
    <cellStyle name="Normal 161 2 4 2" xfId="13783" xr:uid="{00000000-0005-0000-0000-0000D7350000}"/>
    <cellStyle name="Normal 161 2 4 2 2" xfId="13784" xr:uid="{00000000-0005-0000-0000-0000D8350000}"/>
    <cellStyle name="Normal 161 2 4 3" xfId="13785" xr:uid="{00000000-0005-0000-0000-0000D9350000}"/>
    <cellStyle name="Normal 161 2 5" xfId="13786" xr:uid="{00000000-0005-0000-0000-0000DA350000}"/>
    <cellStyle name="Normal 161 3" xfId="13787" xr:uid="{00000000-0005-0000-0000-0000DB350000}"/>
    <cellStyle name="Normal 161 3 2" xfId="13788" xr:uid="{00000000-0005-0000-0000-0000DC350000}"/>
    <cellStyle name="Normal 161 3 2 2" xfId="13789" xr:uid="{00000000-0005-0000-0000-0000DD350000}"/>
    <cellStyle name="Normal 161 3 2 2 2" xfId="13790" xr:uid="{00000000-0005-0000-0000-0000DE350000}"/>
    <cellStyle name="Normal 161 3 2 3" xfId="13791" xr:uid="{00000000-0005-0000-0000-0000DF350000}"/>
    <cellStyle name="Normal 161 3 2 3 2" xfId="13792" xr:uid="{00000000-0005-0000-0000-0000E0350000}"/>
    <cellStyle name="Normal 161 3 2 3 2 2" xfId="13793" xr:uid="{00000000-0005-0000-0000-0000E1350000}"/>
    <cellStyle name="Normal 161 3 2 3 3" xfId="13794" xr:uid="{00000000-0005-0000-0000-0000E2350000}"/>
    <cellStyle name="Normal 161 3 2 4" xfId="13795" xr:uid="{00000000-0005-0000-0000-0000E3350000}"/>
    <cellStyle name="Normal 161 3 3" xfId="13796" xr:uid="{00000000-0005-0000-0000-0000E4350000}"/>
    <cellStyle name="Normal 161 3 3 2" xfId="13797" xr:uid="{00000000-0005-0000-0000-0000E5350000}"/>
    <cellStyle name="Normal 161 3 3 2 2" xfId="13798" xr:uid="{00000000-0005-0000-0000-0000E6350000}"/>
    <cellStyle name="Normal 161 3 3 3" xfId="13799" xr:uid="{00000000-0005-0000-0000-0000E7350000}"/>
    <cellStyle name="Normal 161 3 4" xfId="13800" xr:uid="{00000000-0005-0000-0000-0000E8350000}"/>
    <cellStyle name="Normal 161 3 4 2" xfId="13801" xr:uid="{00000000-0005-0000-0000-0000E9350000}"/>
    <cellStyle name="Normal 161 3 4 2 2" xfId="13802" xr:uid="{00000000-0005-0000-0000-0000EA350000}"/>
    <cellStyle name="Normal 161 3 4 3" xfId="13803" xr:uid="{00000000-0005-0000-0000-0000EB350000}"/>
    <cellStyle name="Normal 161 3 5" xfId="13804" xr:uid="{00000000-0005-0000-0000-0000EC350000}"/>
    <cellStyle name="Normal 161 3 5 2" xfId="13805" xr:uid="{00000000-0005-0000-0000-0000ED350000}"/>
    <cellStyle name="Normal 161 3 5 2 2" xfId="13806" xr:uid="{00000000-0005-0000-0000-0000EE350000}"/>
    <cellStyle name="Normal 161 3 5 3" xfId="13807" xr:uid="{00000000-0005-0000-0000-0000EF350000}"/>
    <cellStyle name="Normal 161 3 6" xfId="13808" xr:uid="{00000000-0005-0000-0000-0000F0350000}"/>
    <cellStyle name="Normal 161 4" xfId="13809" xr:uid="{00000000-0005-0000-0000-0000F1350000}"/>
    <cellStyle name="Normal 161 4 2" xfId="13810" xr:uid="{00000000-0005-0000-0000-0000F2350000}"/>
    <cellStyle name="Normal 161 4 2 2" xfId="13811" xr:uid="{00000000-0005-0000-0000-0000F3350000}"/>
    <cellStyle name="Normal 161 4 3" xfId="13812" xr:uid="{00000000-0005-0000-0000-0000F4350000}"/>
    <cellStyle name="Normal 161 5" xfId="13813" xr:uid="{00000000-0005-0000-0000-0000F5350000}"/>
    <cellStyle name="Normal 161 5 2" xfId="13814" xr:uid="{00000000-0005-0000-0000-0000F6350000}"/>
    <cellStyle name="Normal 161 5 2 2" xfId="13815" xr:uid="{00000000-0005-0000-0000-0000F7350000}"/>
    <cellStyle name="Normal 161 5 3" xfId="13816" xr:uid="{00000000-0005-0000-0000-0000F8350000}"/>
    <cellStyle name="Normal 161 6" xfId="13817" xr:uid="{00000000-0005-0000-0000-0000F9350000}"/>
    <cellStyle name="Normal 161 6 2" xfId="13818" xr:uid="{00000000-0005-0000-0000-0000FA350000}"/>
    <cellStyle name="Normal 161 6 2 2" xfId="13819" xr:uid="{00000000-0005-0000-0000-0000FB350000}"/>
    <cellStyle name="Normal 161 6 3" xfId="13820" xr:uid="{00000000-0005-0000-0000-0000FC350000}"/>
    <cellStyle name="Normal 161 7" xfId="13821" xr:uid="{00000000-0005-0000-0000-0000FD350000}"/>
    <cellStyle name="Normal 162" xfId="13822" xr:uid="{00000000-0005-0000-0000-0000FE350000}"/>
    <cellStyle name="Normal 162 2" xfId="13823" xr:uid="{00000000-0005-0000-0000-0000FF350000}"/>
    <cellStyle name="Normal 162 2 2" xfId="13824" xr:uid="{00000000-0005-0000-0000-000000360000}"/>
    <cellStyle name="Normal 162 2 2 2" xfId="13825" xr:uid="{00000000-0005-0000-0000-000001360000}"/>
    <cellStyle name="Normal 162 2 3" xfId="13826" xr:uid="{00000000-0005-0000-0000-000002360000}"/>
    <cellStyle name="Normal 162 2 3 2" xfId="13827" xr:uid="{00000000-0005-0000-0000-000003360000}"/>
    <cellStyle name="Normal 162 2 3 2 2" xfId="13828" xr:uid="{00000000-0005-0000-0000-000004360000}"/>
    <cellStyle name="Normal 162 2 3 3" xfId="13829" xr:uid="{00000000-0005-0000-0000-000005360000}"/>
    <cellStyle name="Normal 162 2 4" xfId="13830" xr:uid="{00000000-0005-0000-0000-000006360000}"/>
    <cellStyle name="Normal 162 2 4 2" xfId="13831" xr:uid="{00000000-0005-0000-0000-000007360000}"/>
    <cellStyle name="Normal 162 2 4 2 2" xfId="13832" xr:uid="{00000000-0005-0000-0000-000008360000}"/>
    <cellStyle name="Normal 162 2 4 3" xfId="13833" xr:uid="{00000000-0005-0000-0000-000009360000}"/>
    <cellStyle name="Normal 162 2 5" xfId="13834" xr:uid="{00000000-0005-0000-0000-00000A360000}"/>
    <cellStyle name="Normal 162 3" xfId="13835" xr:uid="{00000000-0005-0000-0000-00000B360000}"/>
    <cellStyle name="Normal 162 3 2" xfId="13836" xr:uid="{00000000-0005-0000-0000-00000C360000}"/>
    <cellStyle name="Normal 162 3 2 2" xfId="13837" xr:uid="{00000000-0005-0000-0000-00000D360000}"/>
    <cellStyle name="Normal 162 3 2 2 2" xfId="13838" xr:uid="{00000000-0005-0000-0000-00000E360000}"/>
    <cellStyle name="Normal 162 3 2 3" xfId="13839" xr:uid="{00000000-0005-0000-0000-00000F360000}"/>
    <cellStyle name="Normal 162 3 2 3 2" xfId="13840" xr:uid="{00000000-0005-0000-0000-000010360000}"/>
    <cellStyle name="Normal 162 3 2 3 2 2" xfId="13841" xr:uid="{00000000-0005-0000-0000-000011360000}"/>
    <cellStyle name="Normal 162 3 2 3 3" xfId="13842" xr:uid="{00000000-0005-0000-0000-000012360000}"/>
    <cellStyle name="Normal 162 3 2 4" xfId="13843" xr:uid="{00000000-0005-0000-0000-000013360000}"/>
    <cellStyle name="Normal 162 3 3" xfId="13844" xr:uid="{00000000-0005-0000-0000-000014360000}"/>
    <cellStyle name="Normal 162 3 3 2" xfId="13845" xr:uid="{00000000-0005-0000-0000-000015360000}"/>
    <cellStyle name="Normal 162 3 3 2 2" xfId="13846" xr:uid="{00000000-0005-0000-0000-000016360000}"/>
    <cellStyle name="Normal 162 3 3 3" xfId="13847" xr:uid="{00000000-0005-0000-0000-000017360000}"/>
    <cellStyle name="Normal 162 3 4" xfId="13848" xr:uid="{00000000-0005-0000-0000-000018360000}"/>
    <cellStyle name="Normal 162 3 4 2" xfId="13849" xr:uid="{00000000-0005-0000-0000-000019360000}"/>
    <cellStyle name="Normal 162 3 4 2 2" xfId="13850" xr:uid="{00000000-0005-0000-0000-00001A360000}"/>
    <cellStyle name="Normal 162 3 4 3" xfId="13851" xr:uid="{00000000-0005-0000-0000-00001B360000}"/>
    <cellStyle name="Normal 162 3 5" xfId="13852" xr:uid="{00000000-0005-0000-0000-00001C360000}"/>
    <cellStyle name="Normal 162 3 5 2" xfId="13853" xr:uid="{00000000-0005-0000-0000-00001D360000}"/>
    <cellStyle name="Normal 162 3 5 2 2" xfId="13854" xr:uid="{00000000-0005-0000-0000-00001E360000}"/>
    <cellStyle name="Normal 162 3 5 3" xfId="13855" xr:uid="{00000000-0005-0000-0000-00001F360000}"/>
    <cellStyle name="Normal 162 3 6" xfId="13856" xr:uid="{00000000-0005-0000-0000-000020360000}"/>
    <cellStyle name="Normal 162 4" xfId="13857" xr:uid="{00000000-0005-0000-0000-000021360000}"/>
    <cellStyle name="Normal 162 4 2" xfId="13858" xr:uid="{00000000-0005-0000-0000-000022360000}"/>
    <cellStyle name="Normal 162 4 2 2" xfId="13859" xr:uid="{00000000-0005-0000-0000-000023360000}"/>
    <cellStyle name="Normal 162 4 3" xfId="13860" xr:uid="{00000000-0005-0000-0000-000024360000}"/>
    <cellStyle name="Normal 162 5" xfId="13861" xr:uid="{00000000-0005-0000-0000-000025360000}"/>
    <cellStyle name="Normal 162 5 2" xfId="13862" xr:uid="{00000000-0005-0000-0000-000026360000}"/>
    <cellStyle name="Normal 162 5 2 2" xfId="13863" xr:uid="{00000000-0005-0000-0000-000027360000}"/>
    <cellStyle name="Normal 162 5 3" xfId="13864" xr:uid="{00000000-0005-0000-0000-000028360000}"/>
    <cellStyle name="Normal 162 6" xfId="13865" xr:uid="{00000000-0005-0000-0000-000029360000}"/>
    <cellStyle name="Normal 162 6 2" xfId="13866" xr:uid="{00000000-0005-0000-0000-00002A360000}"/>
    <cellStyle name="Normal 162 6 2 2" xfId="13867" xr:uid="{00000000-0005-0000-0000-00002B360000}"/>
    <cellStyle name="Normal 162 6 3" xfId="13868" xr:uid="{00000000-0005-0000-0000-00002C360000}"/>
    <cellStyle name="Normal 162 7" xfId="13869" xr:uid="{00000000-0005-0000-0000-00002D360000}"/>
    <cellStyle name="Normal 163" xfId="13870" xr:uid="{00000000-0005-0000-0000-00002E360000}"/>
    <cellStyle name="Normal 163 2" xfId="13871" xr:uid="{00000000-0005-0000-0000-00002F360000}"/>
    <cellStyle name="Normal 163 2 2" xfId="13872" xr:uid="{00000000-0005-0000-0000-000030360000}"/>
    <cellStyle name="Normal 163 2 2 2" xfId="13873" xr:uid="{00000000-0005-0000-0000-000031360000}"/>
    <cellStyle name="Normal 163 2 3" xfId="13874" xr:uid="{00000000-0005-0000-0000-000032360000}"/>
    <cellStyle name="Normal 163 2 3 2" xfId="13875" xr:uid="{00000000-0005-0000-0000-000033360000}"/>
    <cellStyle name="Normal 163 2 3 2 2" xfId="13876" xr:uid="{00000000-0005-0000-0000-000034360000}"/>
    <cellStyle name="Normal 163 2 3 3" xfId="13877" xr:uid="{00000000-0005-0000-0000-000035360000}"/>
    <cellStyle name="Normal 163 2 4" xfId="13878" xr:uid="{00000000-0005-0000-0000-000036360000}"/>
    <cellStyle name="Normal 163 2 4 2" xfId="13879" xr:uid="{00000000-0005-0000-0000-000037360000}"/>
    <cellStyle name="Normal 163 2 4 2 2" xfId="13880" xr:uid="{00000000-0005-0000-0000-000038360000}"/>
    <cellStyle name="Normal 163 2 4 3" xfId="13881" xr:uid="{00000000-0005-0000-0000-000039360000}"/>
    <cellStyle name="Normal 163 2 5" xfId="13882" xr:uid="{00000000-0005-0000-0000-00003A360000}"/>
    <cellStyle name="Normal 163 3" xfId="13883" xr:uid="{00000000-0005-0000-0000-00003B360000}"/>
    <cellStyle name="Normal 163 3 2" xfId="13884" xr:uid="{00000000-0005-0000-0000-00003C360000}"/>
    <cellStyle name="Normal 163 3 2 2" xfId="13885" xr:uid="{00000000-0005-0000-0000-00003D360000}"/>
    <cellStyle name="Normal 163 3 2 2 2" xfId="13886" xr:uid="{00000000-0005-0000-0000-00003E360000}"/>
    <cellStyle name="Normal 163 3 2 3" xfId="13887" xr:uid="{00000000-0005-0000-0000-00003F360000}"/>
    <cellStyle name="Normal 163 3 2 3 2" xfId="13888" xr:uid="{00000000-0005-0000-0000-000040360000}"/>
    <cellStyle name="Normal 163 3 2 3 2 2" xfId="13889" xr:uid="{00000000-0005-0000-0000-000041360000}"/>
    <cellStyle name="Normal 163 3 2 3 3" xfId="13890" xr:uid="{00000000-0005-0000-0000-000042360000}"/>
    <cellStyle name="Normal 163 3 2 4" xfId="13891" xr:uid="{00000000-0005-0000-0000-000043360000}"/>
    <cellStyle name="Normal 163 3 3" xfId="13892" xr:uid="{00000000-0005-0000-0000-000044360000}"/>
    <cellStyle name="Normal 163 3 3 2" xfId="13893" xr:uid="{00000000-0005-0000-0000-000045360000}"/>
    <cellStyle name="Normal 163 3 3 2 2" xfId="13894" xr:uid="{00000000-0005-0000-0000-000046360000}"/>
    <cellStyle name="Normal 163 3 3 3" xfId="13895" xr:uid="{00000000-0005-0000-0000-000047360000}"/>
    <cellStyle name="Normal 163 3 4" xfId="13896" xr:uid="{00000000-0005-0000-0000-000048360000}"/>
    <cellStyle name="Normal 163 3 4 2" xfId="13897" xr:uid="{00000000-0005-0000-0000-000049360000}"/>
    <cellStyle name="Normal 163 3 4 2 2" xfId="13898" xr:uid="{00000000-0005-0000-0000-00004A360000}"/>
    <cellStyle name="Normal 163 3 4 3" xfId="13899" xr:uid="{00000000-0005-0000-0000-00004B360000}"/>
    <cellStyle name="Normal 163 3 5" xfId="13900" xr:uid="{00000000-0005-0000-0000-00004C360000}"/>
    <cellStyle name="Normal 163 3 5 2" xfId="13901" xr:uid="{00000000-0005-0000-0000-00004D360000}"/>
    <cellStyle name="Normal 163 3 5 2 2" xfId="13902" xr:uid="{00000000-0005-0000-0000-00004E360000}"/>
    <cellStyle name="Normal 163 3 5 3" xfId="13903" xr:uid="{00000000-0005-0000-0000-00004F360000}"/>
    <cellStyle name="Normal 163 3 6" xfId="13904" xr:uid="{00000000-0005-0000-0000-000050360000}"/>
    <cellStyle name="Normal 163 4" xfId="13905" xr:uid="{00000000-0005-0000-0000-000051360000}"/>
    <cellStyle name="Normal 163 4 2" xfId="13906" xr:uid="{00000000-0005-0000-0000-000052360000}"/>
    <cellStyle name="Normal 163 4 2 2" xfId="13907" xr:uid="{00000000-0005-0000-0000-000053360000}"/>
    <cellStyle name="Normal 163 4 3" xfId="13908" xr:uid="{00000000-0005-0000-0000-000054360000}"/>
    <cellStyle name="Normal 163 5" xfId="13909" xr:uid="{00000000-0005-0000-0000-000055360000}"/>
    <cellStyle name="Normal 163 5 2" xfId="13910" xr:uid="{00000000-0005-0000-0000-000056360000}"/>
    <cellStyle name="Normal 163 5 2 2" xfId="13911" xr:uid="{00000000-0005-0000-0000-000057360000}"/>
    <cellStyle name="Normal 163 5 3" xfId="13912" xr:uid="{00000000-0005-0000-0000-000058360000}"/>
    <cellStyle name="Normal 163 6" xfId="13913" xr:uid="{00000000-0005-0000-0000-000059360000}"/>
    <cellStyle name="Normal 163 6 2" xfId="13914" xr:uid="{00000000-0005-0000-0000-00005A360000}"/>
    <cellStyle name="Normal 163 6 2 2" xfId="13915" xr:uid="{00000000-0005-0000-0000-00005B360000}"/>
    <cellStyle name="Normal 163 6 3" xfId="13916" xr:uid="{00000000-0005-0000-0000-00005C360000}"/>
    <cellStyle name="Normal 163 7" xfId="13917" xr:uid="{00000000-0005-0000-0000-00005D360000}"/>
    <cellStyle name="Normal 164" xfId="13918" xr:uid="{00000000-0005-0000-0000-00005E360000}"/>
    <cellStyle name="Normal 164 2" xfId="13919" xr:uid="{00000000-0005-0000-0000-00005F360000}"/>
    <cellStyle name="Normal 164 2 2" xfId="13920" xr:uid="{00000000-0005-0000-0000-000060360000}"/>
    <cellStyle name="Normal 164 2 2 2" xfId="13921" xr:uid="{00000000-0005-0000-0000-000061360000}"/>
    <cellStyle name="Normal 164 2 3" xfId="13922" xr:uid="{00000000-0005-0000-0000-000062360000}"/>
    <cellStyle name="Normal 164 2 3 2" xfId="13923" xr:uid="{00000000-0005-0000-0000-000063360000}"/>
    <cellStyle name="Normal 164 2 3 2 2" xfId="13924" xr:uid="{00000000-0005-0000-0000-000064360000}"/>
    <cellStyle name="Normal 164 2 3 3" xfId="13925" xr:uid="{00000000-0005-0000-0000-000065360000}"/>
    <cellStyle name="Normal 164 2 4" xfId="13926" xr:uid="{00000000-0005-0000-0000-000066360000}"/>
    <cellStyle name="Normal 164 2 4 2" xfId="13927" xr:uid="{00000000-0005-0000-0000-000067360000}"/>
    <cellStyle name="Normal 164 2 4 2 2" xfId="13928" xr:uid="{00000000-0005-0000-0000-000068360000}"/>
    <cellStyle name="Normal 164 2 4 3" xfId="13929" xr:uid="{00000000-0005-0000-0000-000069360000}"/>
    <cellStyle name="Normal 164 2 5" xfId="13930" xr:uid="{00000000-0005-0000-0000-00006A360000}"/>
    <cellStyle name="Normal 164 3" xfId="13931" xr:uid="{00000000-0005-0000-0000-00006B360000}"/>
    <cellStyle name="Normal 164 3 2" xfId="13932" xr:uid="{00000000-0005-0000-0000-00006C360000}"/>
    <cellStyle name="Normal 164 3 2 2" xfId="13933" xr:uid="{00000000-0005-0000-0000-00006D360000}"/>
    <cellStyle name="Normal 164 3 2 2 2" xfId="13934" xr:uid="{00000000-0005-0000-0000-00006E360000}"/>
    <cellStyle name="Normal 164 3 2 3" xfId="13935" xr:uid="{00000000-0005-0000-0000-00006F360000}"/>
    <cellStyle name="Normal 164 3 2 3 2" xfId="13936" xr:uid="{00000000-0005-0000-0000-000070360000}"/>
    <cellStyle name="Normal 164 3 2 3 2 2" xfId="13937" xr:uid="{00000000-0005-0000-0000-000071360000}"/>
    <cellStyle name="Normal 164 3 2 3 3" xfId="13938" xr:uid="{00000000-0005-0000-0000-000072360000}"/>
    <cellStyle name="Normal 164 3 2 4" xfId="13939" xr:uid="{00000000-0005-0000-0000-000073360000}"/>
    <cellStyle name="Normal 164 3 3" xfId="13940" xr:uid="{00000000-0005-0000-0000-000074360000}"/>
    <cellStyle name="Normal 164 3 3 2" xfId="13941" xr:uid="{00000000-0005-0000-0000-000075360000}"/>
    <cellStyle name="Normal 164 3 3 2 2" xfId="13942" xr:uid="{00000000-0005-0000-0000-000076360000}"/>
    <cellStyle name="Normal 164 3 3 3" xfId="13943" xr:uid="{00000000-0005-0000-0000-000077360000}"/>
    <cellStyle name="Normal 164 3 4" xfId="13944" xr:uid="{00000000-0005-0000-0000-000078360000}"/>
    <cellStyle name="Normal 164 3 4 2" xfId="13945" xr:uid="{00000000-0005-0000-0000-000079360000}"/>
    <cellStyle name="Normal 164 3 4 2 2" xfId="13946" xr:uid="{00000000-0005-0000-0000-00007A360000}"/>
    <cellStyle name="Normal 164 3 4 3" xfId="13947" xr:uid="{00000000-0005-0000-0000-00007B360000}"/>
    <cellStyle name="Normal 164 3 5" xfId="13948" xr:uid="{00000000-0005-0000-0000-00007C360000}"/>
    <cellStyle name="Normal 164 3 5 2" xfId="13949" xr:uid="{00000000-0005-0000-0000-00007D360000}"/>
    <cellStyle name="Normal 164 3 5 2 2" xfId="13950" xr:uid="{00000000-0005-0000-0000-00007E360000}"/>
    <cellStyle name="Normal 164 3 5 3" xfId="13951" xr:uid="{00000000-0005-0000-0000-00007F360000}"/>
    <cellStyle name="Normal 164 3 6" xfId="13952" xr:uid="{00000000-0005-0000-0000-000080360000}"/>
    <cellStyle name="Normal 164 4" xfId="13953" xr:uid="{00000000-0005-0000-0000-000081360000}"/>
    <cellStyle name="Normal 164 4 2" xfId="13954" xr:uid="{00000000-0005-0000-0000-000082360000}"/>
    <cellStyle name="Normal 164 4 2 2" xfId="13955" xr:uid="{00000000-0005-0000-0000-000083360000}"/>
    <cellStyle name="Normal 164 4 3" xfId="13956" xr:uid="{00000000-0005-0000-0000-000084360000}"/>
    <cellStyle name="Normal 164 5" xfId="13957" xr:uid="{00000000-0005-0000-0000-000085360000}"/>
    <cellStyle name="Normal 164 5 2" xfId="13958" xr:uid="{00000000-0005-0000-0000-000086360000}"/>
    <cellStyle name="Normal 164 5 2 2" xfId="13959" xr:uid="{00000000-0005-0000-0000-000087360000}"/>
    <cellStyle name="Normal 164 5 3" xfId="13960" xr:uid="{00000000-0005-0000-0000-000088360000}"/>
    <cellStyle name="Normal 164 6" xfId="13961" xr:uid="{00000000-0005-0000-0000-000089360000}"/>
    <cellStyle name="Normal 164 6 2" xfId="13962" xr:uid="{00000000-0005-0000-0000-00008A360000}"/>
    <cellStyle name="Normal 164 6 2 2" xfId="13963" xr:uid="{00000000-0005-0000-0000-00008B360000}"/>
    <cellStyle name="Normal 164 6 3" xfId="13964" xr:uid="{00000000-0005-0000-0000-00008C360000}"/>
    <cellStyle name="Normal 164 7" xfId="13965" xr:uid="{00000000-0005-0000-0000-00008D360000}"/>
    <cellStyle name="Normal 165" xfId="13966" xr:uid="{00000000-0005-0000-0000-00008E360000}"/>
    <cellStyle name="Normal 165 2" xfId="13967" xr:uid="{00000000-0005-0000-0000-00008F360000}"/>
    <cellStyle name="Normal 165 2 2" xfId="13968" xr:uid="{00000000-0005-0000-0000-000090360000}"/>
    <cellStyle name="Normal 165 2 2 2" xfId="13969" xr:uid="{00000000-0005-0000-0000-000091360000}"/>
    <cellStyle name="Normal 165 2 3" xfId="13970" xr:uid="{00000000-0005-0000-0000-000092360000}"/>
    <cellStyle name="Normal 165 2 3 2" xfId="13971" xr:uid="{00000000-0005-0000-0000-000093360000}"/>
    <cellStyle name="Normal 165 2 3 2 2" xfId="13972" xr:uid="{00000000-0005-0000-0000-000094360000}"/>
    <cellStyle name="Normal 165 2 3 3" xfId="13973" xr:uid="{00000000-0005-0000-0000-000095360000}"/>
    <cellStyle name="Normal 165 2 4" xfId="13974" xr:uid="{00000000-0005-0000-0000-000096360000}"/>
    <cellStyle name="Normal 165 2 4 2" xfId="13975" xr:uid="{00000000-0005-0000-0000-000097360000}"/>
    <cellStyle name="Normal 165 2 4 2 2" xfId="13976" xr:uid="{00000000-0005-0000-0000-000098360000}"/>
    <cellStyle name="Normal 165 2 4 3" xfId="13977" xr:uid="{00000000-0005-0000-0000-000099360000}"/>
    <cellStyle name="Normal 165 2 5" xfId="13978" xr:uid="{00000000-0005-0000-0000-00009A360000}"/>
    <cellStyle name="Normal 165 3" xfId="13979" xr:uid="{00000000-0005-0000-0000-00009B360000}"/>
    <cellStyle name="Normal 165 3 2" xfId="13980" xr:uid="{00000000-0005-0000-0000-00009C360000}"/>
    <cellStyle name="Normal 165 3 2 2" xfId="13981" xr:uid="{00000000-0005-0000-0000-00009D360000}"/>
    <cellStyle name="Normal 165 3 2 2 2" xfId="13982" xr:uid="{00000000-0005-0000-0000-00009E360000}"/>
    <cellStyle name="Normal 165 3 2 3" xfId="13983" xr:uid="{00000000-0005-0000-0000-00009F360000}"/>
    <cellStyle name="Normal 165 3 2 3 2" xfId="13984" xr:uid="{00000000-0005-0000-0000-0000A0360000}"/>
    <cellStyle name="Normal 165 3 2 3 2 2" xfId="13985" xr:uid="{00000000-0005-0000-0000-0000A1360000}"/>
    <cellStyle name="Normal 165 3 2 3 3" xfId="13986" xr:uid="{00000000-0005-0000-0000-0000A2360000}"/>
    <cellStyle name="Normal 165 3 2 4" xfId="13987" xr:uid="{00000000-0005-0000-0000-0000A3360000}"/>
    <cellStyle name="Normal 165 3 3" xfId="13988" xr:uid="{00000000-0005-0000-0000-0000A4360000}"/>
    <cellStyle name="Normal 165 3 3 2" xfId="13989" xr:uid="{00000000-0005-0000-0000-0000A5360000}"/>
    <cellStyle name="Normal 165 3 3 2 2" xfId="13990" xr:uid="{00000000-0005-0000-0000-0000A6360000}"/>
    <cellStyle name="Normal 165 3 3 3" xfId="13991" xr:uid="{00000000-0005-0000-0000-0000A7360000}"/>
    <cellStyle name="Normal 165 3 4" xfId="13992" xr:uid="{00000000-0005-0000-0000-0000A8360000}"/>
    <cellStyle name="Normal 165 3 4 2" xfId="13993" xr:uid="{00000000-0005-0000-0000-0000A9360000}"/>
    <cellStyle name="Normal 165 3 4 2 2" xfId="13994" xr:uid="{00000000-0005-0000-0000-0000AA360000}"/>
    <cellStyle name="Normal 165 3 4 3" xfId="13995" xr:uid="{00000000-0005-0000-0000-0000AB360000}"/>
    <cellStyle name="Normal 165 3 5" xfId="13996" xr:uid="{00000000-0005-0000-0000-0000AC360000}"/>
    <cellStyle name="Normal 165 3 5 2" xfId="13997" xr:uid="{00000000-0005-0000-0000-0000AD360000}"/>
    <cellStyle name="Normal 165 3 5 2 2" xfId="13998" xr:uid="{00000000-0005-0000-0000-0000AE360000}"/>
    <cellStyle name="Normal 165 3 5 3" xfId="13999" xr:uid="{00000000-0005-0000-0000-0000AF360000}"/>
    <cellStyle name="Normal 165 3 6" xfId="14000" xr:uid="{00000000-0005-0000-0000-0000B0360000}"/>
    <cellStyle name="Normal 165 4" xfId="14001" xr:uid="{00000000-0005-0000-0000-0000B1360000}"/>
    <cellStyle name="Normal 165 4 2" xfId="14002" xr:uid="{00000000-0005-0000-0000-0000B2360000}"/>
    <cellStyle name="Normal 165 4 2 2" xfId="14003" xr:uid="{00000000-0005-0000-0000-0000B3360000}"/>
    <cellStyle name="Normal 165 4 3" xfId="14004" xr:uid="{00000000-0005-0000-0000-0000B4360000}"/>
    <cellStyle name="Normal 165 5" xfId="14005" xr:uid="{00000000-0005-0000-0000-0000B5360000}"/>
    <cellStyle name="Normal 165 5 2" xfId="14006" xr:uid="{00000000-0005-0000-0000-0000B6360000}"/>
    <cellStyle name="Normal 165 5 2 2" xfId="14007" xr:uid="{00000000-0005-0000-0000-0000B7360000}"/>
    <cellStyle name="Normal 165 5 3" xfId="14008" xr:uid="{00000000-0005-0000-0000-0000B8360000}"/>
    <cellStyle name="Normal 165 6" xfId="14009" xr:uid="{00000000-0005-0000-0000-0000B9360000}"/>
    <cellStyle name="Normal 165 6 2" xfId="14010" xr:uid="{00000000-0005-0000-0000-0000BA360000}"/>
    <cellStyle name="Normal 165 6 2 2" xfId="14011" xr:uid="{00000000-0005-0000-0000-0000BB360000}"/>
    <cellStyle name="Normal 165 6 3" xfId="14012" xr:uid="{00000000-0005-0000-0000-0000BC360000}"/>
    <cellStyle name="Normal 165 7" xfId="14013" xr:uid="{00000000-0005-0000-0000-0000BD360000}"/>
    <cellStyle name="Normal 166" xfId="14014" xr:uid="{00000000-0005-0000-0000-0000BE360000}"/>
    <cellStyle name="Normal 166 2" xfId="14015" xr:uid="{00000000-0005-0000-0000-0000BF360000}"/>
    <cellStyle name="Normal 166 2 2" xfId="14016" xr:uid="{00000000-0005-0000-0000-0000C0360000}"/>
    <cellStyle name="Normal 166 2 2 2" xfId="14017" xr:uid="{00000000-0005-0000-0000-0000C1360000}"/>
    <cellStyle name="Normal 166 2 3" xfId="14018" xr:uid="{00000000-0005-0000-0000-0000C2360000}"/>
    <cellStyle name="Normal 166 2 3 2" xfId="14019" xr:uid="{00000000-0005-0000-0000-0000C3360000}"/>
    <cellStyle name="Normal 166 2 3 2 2" xfId="14020" xr:uid="{00000000-0005-0000-0000-0000C4360000}"/>
    <cellStyle name="Normal 166 2 3 3" xfId="14021" xr:uid="{00000000-0005-0000-0000-0000C5360000}"/>
    <cellStyle name="Normal 166 2 4" xfId="14022" xr:uid="{00000000-0005-0000-0000-0000C6360000}"/>
    <cellStyle name="Normal 166 2 4 2" xfId="14023" xr:uid="{00000000-0005-0000-0000-0000C7360000}"/>
    <cellStyle name="Normal 166 2 4 2 2" xfId="14024" xr:uid="{00000000-0005-0000-0000-0000C8360000}"/>
    <cellStyle name="Normal 166 2 4 3" xfId="14025" xr:uid="{00000000-0005-0000-0000-0000C9360000}"/>
    <cellStyle name="Normal 166 2 5" xfId="14026" xr:uid="{00000000-0005-0000-0000-0000CA360000}"/>
    <cellStyle name="Normal 166 3" xfId="14027" xr:uid="{00000000-0005-0000-0000-0000CB360000}"/>
    <cellStyle name="Normal 166 3 2" xfId="14028" xr:uid="{00000000-0005-0000-0000-0000CC360000}"/>
    <cellStyle name="Normal 166 3 2 2" xfId="14029" xr:uid="{00000000-0005-0000-0000-0000CD360000}"/>
    <cellStyle name="Normal 166 3 2 2 2" xfId="14030" xr:uid="{00000000-0005-0000-0000-0000CE360000}"/>
    <cellStyle name="Normal 166 3 2 3" xfId="14031" xr:uid="{00000000-0005-0000-0000-0000CF360000}"/>
    <cellStyle name="Normal 166 3 2 3 2" xfId="14032" xr:uid="{00000000-0005-0000-0000-0000D0360000}"/>
    <cellStyle name="Normal 166 3 2 3 2 2" xfId="14033" xr:uid="{00000000-0005-0000-0000-0000D1360000}"/>
    <cellStyle name="Normal 166 3 2 3 3" xfId="14034" xr:uid="{00000000-0005-0000-0000-0000D2360000}"/>
    <cellStyle name="Normal 166 3 2 4" xfId="14035" xr:uid="{00000000-0005-0000-0000-0000D3360000}"/>
    <cellStyle name="Normal 166 3 3" xfId="14036" xr:uid="{00000000-0005-0000-0000-0000D4360000}"/>
    <cellStyle name="Normal 166 3 3 2" xfId="14037" xr:uid="{00000000-0005-0000-0000-0000D5360000}"/>
    <cellStyle name="Normal 166 3 3 2 2" xfId="14038" xr:uid="{00000000-0005-0000-0000-0000D6360000}"/>
    <cellStyle name="Normal 166 3 3 3" xfId="14039" xr:uid="{00000000-0005-0000-0000-0000D7360000}"/>
    <cellStyle name="Normal 166 3 4" xfId="14040" xr:uid="{00000000-0005-0000-0000-0000D8360000}"/>
    <cellStyle name="Normal 166 3 4 2" xfId="14041" xr:uid="{00000000-0005-0000-0000-0000D9360000}"/>
    <cellStyle name="Normal 166 3 4 2 2" xfId="14042" xr:uid="{00000000-0005-0000-0000-0000DA360000}"/>
    <cellStyle name="Normal 166 3 4 3" xfId="14043" xr:uid="{00000000-0005-0000-0000-0000DB360000}"/>
    <cellStyle name="Normal 166 3 5" xfId="14044" xr:uid="{00000000-0005-0000-0000-0000DC360000}"/>
    <cellStyle name="Normal 166 3 5 2" xfId="14045" xr:uid="{00000000-0005-0000-0000-0000DD360000}"/>
    <cellStyle name="Normal 166 3 5 2 2" xfId="14046" xr:uid="{00000000-0005-0000-0000-0000DE360000}"/>
    <cellStyle name="Normal 166 3 5 3" xfId="14047" xr:uid="{00000000-0005-0000-0000-0000DF360000}"/>
    <cellStyle name="Normal 166 3 6" xfId="14048" xr:uid="{00000000-0005-0000-0000-0000E0360000}"/>
    <cellStyle name="Normal 166 4" xfId="14049" xr:uid="{00000000-0005-0000-0000-0000E1360000}"/>
    <cellStyle name="Normal 166 4 2" xfId="14050" xr:uid="{00000000-0005-0000-0000-0000E2360000}"/>
    <cellStyle name="Normal 166 4 2 2" xfId="14051" xr:uid="{00000000-0005-0000-0000-0000E3360000}"/>
    <cellStyle name="Normal 166 4 3" xfId="14052" xr:uid="{00000000-0005-0000-0000-0000E4360000}"/>
    <cellStyle name="Normal 166 5" xfId="14053" xr:uid="{00000000-0005-0000-0000-0000E5360000}"/>
    <cellStyle name="Normal 166 5 2" xfId="14054" xr:uid="{00000000-0005-0000-0000-0000E6360000}"/>
    <cellStyle name="Normal 166 5 2 2" xfId="14055" xr:uid="{00000000-0005-0000-0000-0000E7360000}"/>
    <cellStyle name="Normal 166 5 3" xfId="14056" xr:uid="{00000000-0005-0000-0000-0000E8360000}"/>
    <cellStyle name="Normal 166 6" xfId="14057" xr:uid="{00000000-0005-0000-0000-0000E9360000}"/>
    <cellStyle name="Normal 166 6 2" xfId="14058" xr:uid="{00000000-0005-0000-0000-0000EA360000}"/>
    <cellStyle name="Normal 166 6 2 2" xfId="14059" xr:uid="{00000000-0005-0000-0000-0000EB360000}"/>
    <cellStyle name="Normal 166 6 3" xfId="14060" xr:uid="{00000000-0005-0000-0000-0000EC360000}"/>
    <cellStyle name="Normal 166 7" xfId="14061" xr:uid="{00000000-0005-0000-0000-0000ED360000}"/>
    <cellStyle name="Normal 167" xfId="14062" xr:uid="{00000000-0005-0000-0000-0000EE360000}"/>
    <cellStyle name="Normal 167 2" xfId="14063" xr:uid="{00000000-0005-0000-0000-0000EF360000}"/>
    <cellStyle name="Normal 167 2 2" xfId="14064" xr:uid="{00000000-0005-0000-0000-0000F0360000}"/>
    <cellStyle name="Normal 167 2 2 2" xfId="14065" xr:uid="{00000000-0005-0000-0000-0000F1360000}"/>
    <cellStyle name="Normal 167 2 3" xfId="14066" xr:uid="{00000000-0005-0000-0000-0000F2360000}"/>
    <cellStyle name="Normal 167 2 3 2" xfId="14067" xr:uid="{00000000-0005-0000-0000-0000F3360000}"/>
    <cellStyle name="Normal 167 2 3 2 2" xfId="14068" xr:uid="{00000000-0005-0000-0000-0000F4360000}"/>
    <cellStyle name="Normal 167 2 3 3" xfId="14069" xr:uid="{00000000-0005-0000-0000-0000F5360000}"/>
    <cellStyle name="Normal 167 2 4" xfId="14070" xr:uid="{00000000-0005-0000-0000-0000F6360000}"/>
    <cellStyle name="Normal 167 2 4 2" xfId="14071" xr:uid="{00000000-0005-0000-0000-0000F7360000}"/>
    <cellStyle name="Normal 167 2 4 2 2" xfId="14072" xr:uid="{00000000-0005-0000-0000-0000F8360000}"/>
    <cellStyle name="Normal 167 2 4 3" xfId="14073" xr:uid="{00000000-0005-0000-0000-0000F9360000}"/>
    <cellStyle name="Normal 167 2 5" xfId="14074" xr:uid="{00000000-0005-0000-0000-0000FA360000}"/>
    <cellStyle name="Normal 167 3" xfId="14075" xr:uid="{00000000-0005-0000-0000-0000FB360000}"/>
    <cellStyle name="Normal 167 3 2" xfId="14076" xr:uid="{00000000-0005-0000-0000-0000FC360000}"/>
    <cellStyle name="Normal 167 3 2 2" xfId="14077" xr:uid="{00000000-0005-0000-0000-0000FD360000}"/>
    <cellStyle name="Normal 167 3 2 2 2" xfId="14078" xr:uid="{00000000-0005-0000-0000-0000FE360000}"/>
    <cellStyle name="Normal 167 3 2 3" xfId="14079" xr:uid="{00000000-0005-0000-0000-0000FF360000}"/>
    <cellStyle name="Normal 167 3 2 3 2" xfId="14080" xr:uid="{00000000-0005-0000-0000-000000370000}"/>
    <cellStyle name="Normal 167 3 2 3 2 2" xfId="14081" xr:uid="{00000000-0005-0000-0000-000001370000}"/>
    <cellStyle name="Normal 167 3 2 3 3" xfId="14082" xr:uid="{00000000-0005-0000-0000-000002370000}"/>
    <cellStyle name="Normal 167 3 2 4" xfId="14083" xr:uid="{00000000-0005-0000-0000-000003370000}"/>
    <cellStyle name="Normal 167 3 3" xfId="14084" xr:uid="{00000000-0005-0000-0000-000004370000}"/>
    <cellStyle name="Normal 167 3 3 2" xfId="14085" xr:uid="{00000000-0005-0000-0000-000005370000}"/>
    <cellStyle name="Normal 167 3 3 2 2" xfId="14086" xr:uid="{00000000-0005-0000-0000-000006370000}"/>
    <cellStyle name="Normal 167 3 3 3" xfId="14087" xr:uid="{00000000-0005-0000-0000-000007370000}"/>
    <cellStyle name="Normal 167 3 4" xfId="14088" xr:uid="{00000000-0005-0000-0000-000008370000}"/>
    <cellStyle name="Normal 167 3 4 2" xfId="14089" xr:uid="{00000000-0005-0000-0000-000009370000}"/>
    <cellStyle name="Normal 167 3 4 2 2" xfId="14090" xr:uid="{00000000-0005-0000-0000-00000A370000}"/>
    <cellStyle name="Normal 167 3 4 3" xfId="14091" xr:uid="{00000000-0005-0000-0000-00000B370000}"/>
    <cellStyle name="Normal 167 3 5" xfId="14092" xr:uid="{00000000-0005-0000-0000-00000C370000}"/>
    <cellStyle name="Normal 167 3 5 2" xfId="14093" xr:uid="{00000000-0005-0000-0000-00000D370000}"/>
    <cellStyle name="Normal 167 3 5 2 2" xfId="14094" xr:uid="{00000000-0005-0000-0000-00000E370000}"/>
    <cellStyle name="Normal 167 3 5 3" xfId="14095" xr:uid="{00000000-0005-0000-0000-00000F370000}"/>
    <cellStyle name="Normal 167 3 6" xfId="14096" xr:uid="{00000000-0005-0000-0000-000010370000}"/>
    <cellStyle name="Normal 167 4" xfId="14097" xr:uid="{00000000-0005-0000-0000-000011370000}"/>
    <cellStyle name="Normal 167 4 2" xfId="14098" xr:uid="{00000000-0005-0000-0000-000012370000}"/>
    <cellStyle name="Normal 167 4 2 2" xfId="14099" xr:uid="{00000000-0005-0000-0000-000013370000}"/>
    <cellStyle name="Normal 167 4 3" xfId="14100" xr:uid="{00000000-0005-0000-0000-000014370000}"/>
    <cellStyle name="Normal 167 5" xfId="14101" xr:uid="{00000000-0005-0000-0000-000015370000}"/>
    <cellStyle name="Normal 167 5 2" xfId="14102" xr:uid="{00000000-0005-0000-0000-000016370000}"/>
    <cellStyle name="Normal 167 5 2 2" xfId="14103" xr:uid="{00000000-0005-0000-0000-000017370000}"/>
    <cellStyle name="Normal 167 5 3" xfId="14104" xr:uid="{00000000-0005-0000-0000-000018370000}"/>
    <cellStyle name="Normal 167 6" xfId="14105" xr:uid="{00000000-0005-0000-0000-000019370000}"/>
    <cellStyle name="Normal 167 6 2" xfId="14106" xr:uid="{00000000-0005-0000-0000-00001A370000}"/>
    <cellStyle name="Normal 167 6 2 2" xfId="14107" xr:uid="{00000000-0005-0000-0000-00001B370000}"/>
    <cellStyle name="Normal 167 6 3" xfId="14108" xr:uid="{00000000-0005-0000-0000-00001C370000}"/>
    <cellStyle name="Normal 167 7" xfId="14109" xr:uid="{00000000-0005-0000-0000-00001D370000}"/>
    <cellStyle name="Normal 168" xfId="14110" xr:uid="{00000000-0005-0000-0000-00001E370000}"/>
    <cellStyle name="Normal 168 2" xfId="14111" xr:uid="{00000000-0005-0000-0000-00001F370000}"/>
    <cellStyle name="Normal 168 2 2" xfId="14112" xr:uid="{00000000-0005-0000-0000-000020370000}"/>
    <cellStyle name="Normal 168 2 2 2" xfId="14113" xr:uid="{00000000-0005-0000-0000-000021370000}"/>
    <cellStyle name="Normal 168 2 3" xfId="14114" xr:uid="{00000000-0005-0000-0000-000022370000}"/>
    <cellStyle name="Normal 168 2 3 2" xfId="14115" xr:uid="{00000000-0005-0000-0000-000023370000}"/>
    <cellStyle name="Normal 168 2 3 2 2" xfId="14116" xr:uid="{00000000-0005-0000-0000-000024370000}"/>
    <cellStyle name="Normal 168 2 3 3" xfId="14117" xr:uid="{00000000-0005-0000-0000-000025370000}"/>
    <cellStyle name="Normal 168 2 4" xfId="14118" xr:uid="{00000000-0005-0000-0000-000026370000}"/>
    <cellStyle name="Normal 168 2 4 2" xfId="14119" xr:uid="{00000000-0005-0000-0000-000027370000}"/>
    <cellStyle name="Normal 168 2 4 2 2" xfId="14120" xr:uid="{00000000-0005-0000-0000-000028370000}"/>
    <cellStyle name="Normal 168 2 4 3" xfId="14121" xr:uid="{00000000-0005-0000-0000-000029370000}"/>
    <cellStyle name="Normal 168 2 5" xfId="14122" xr:uid="{00000000-0005-0000-0000-00002A370000}"/>
    <cellStyle name="Normal 168 3" xfId="14123" xr:uid="{00000000-0005-0000-0000-00002B370000}"/>
    <cellStyle name="Normal 168 3 2" xfId="14124" xr:uid="{00000000-0005-0000-0000-00002C370000}"/>
    <cellStyle name="Normal 168 3 2 2" xfId="14125" xr:uid="{00000000-0005-0000-0000-00002D370000}"/>
    <cellStyle name="Normal 168 3 2 2 2" xfId="14126" xr:uid="{00000000-0005-0000-0000-00002E370000}"/>
    <cellStyle name="Normal 168 3 2 3" xfId="14127" xr:uid="{00000000-0005-0000-0000-00002F370000}"/>
    <cellStyle name="Normal 168 3 2 3 2" xfId="14128" xr:uid="{00000000-0005-0000-0000-000030370000}"/>
    <cellStyle name="Normal 168 3 2 3 2 2" xfId="14129" xr:uid="{00000000-0005-0000-0000-000031370000}"/>
    <cellStyle name="Normal 168 3 2 3 3" xfId="14130" xr:uid="{00000000-0005-0000-0000-000032370000}"/>
    <cellStyle name="Normal 168 3 2 4" xfId="14131" xr:uid="{00000000-0005-0000-0000-000033370000}"/>
    <cellStyle name="Normal 168 3 3" xfId="14132" xr:uid="{00000000-0005-0000-0000-000034370000}"/>
    <cellStyle name="Normal 168 3 3 2" xfId="14133" xr:uid="{00000000-0005-0000-0000-000035370000}"/>
    <cellStyle name="Normal 168 3 3 2 2" xfId="14134" xr:uid="{00000000-0005-0000-0000-000036370000}"/>
    <cellStyle name="Normal 168 3 3 3" xfId="14135" xr:uid="{00000000-0005-0000-0000-000037370000}"/>
    <cellStyle name="Normal 168 3 4" xfId="14136" xr:uid="{00000000-0005-0000-0000-000038370000}"/>
    <cellStyle name="Normal 168 3 4 2" xfId="14137" xr:uid="{00000000-0005-0000-0000-000039370000}"/>
    <cellStyle name="Normal 168 3 4 2 2" xfId="14138" xr:uid="{00000000-0005-0000-0000-00003A370000}"/>
    <cellStyle name="Normal 168 3 4 3" xfId="14139" xr:uid="{00000000-0005-0000-0000-00003B370000}"/>
    <cellStyle name="Normal 168 3 5" xfId="14140" xr:uid="{00000000-0005-0000-0000-00003C370000}"/>
    <cellStyle name="Normal 168 3 5 2" xfId="14141" xr:uid="{00000000-0005-0000-0000-00003D370000}"/>
    <cellStyle name="Normal 168 3 5 2 2" xfId="14142" xr:uid="{00000000-0005-0000-0000-00003E370000}"/>
    <cellStyle name="Normal 168 3 5 3" xfId="14143" xr:uid="{00000000-0005-0000-0000-00003F370000}"/>
    <cellStyle name="Normal 168 3 6" xfId="14144" xr:uid="{00000000-0005-0000-0000-000040370000}"/>
    <cellStyle name="Normal 168 4" xfId="14145" xr:uid="{00000000-0005-0000-0000-000041370000}"/>
    <cellStyle name="Normal 168 4 2" xfId="14146" xr:uid="{00000000-0005-0000-0000-000042370000}"/>
    <cellStyle name="Normal 168 4 2 2" xfId="14147" xr:uid="{00000000-0005-0000-0000-000043370000}"/>
    <cellStyle name="Normal 168 4 3" xfId="14148" xr:uid="{00000000-0005-0000-0000-000044370000}"/>
    <cellStyle name="Normal 168 5" xfId="14149" xr:uid="{00000000-0005-0000-0000-000045370000}"/>
    <cellStyle name="Normal 168 5 2" xfId="14150" xr:uid="{00000000-0005-0000-0000-000046370000}"/>
    <cellStyle name="Normal 168 5 2 2" xfId="14151" xr:uid="{00000000-0005-0000-0000-000047370000}"/>
    <cellStyle name="Normal 168 5 3" xfId="14152" xr:uid="{00000000-0005-0000-0000-000048370000}"/>
    <cellStyle name="Normal 168 6" xfId="14153" xr:uid="{00000000-0005-0000-0000-000049370000}"/>
    <cellStyle name="Normal 168 6 2" xfId="14154" xr:uid="{00000000-0005-0000-0000-00004A370000}"/>
    <cellStyle name="Normal 168 6 2 2" xfId="14155" xr:uid="{00000000-0005-0000-0000-00004B370000}"/>
    <cellStyle name="Normal 168 6 3" xfId="14156" xr:uid="{00000000-0005-0000-0000-00004C370000}"/>
    <cellStyle name="Normal 168 7" xfId="14157" xr:uid="{00000000-0005-0000-0000-00004D370000}"/>
    <cellStyle name="Normal 169" xfId="14158" xr:uid="{00000000-0005-0000-0000-00004E370000}"/>
    <cellStyle name="Normal 169 2" xfId="14159" xr:uid="{00000000-0005-0000-0000-00004F370000}"/>
    <cellStyle name="Normal 169 2 2" xfId="14160" xr:uid="{00000000-0005-0000-0000-000050370000}"/>
    <cellStyle name="Normal 169 2 2 2" xfId="14161" xr:uid="{00000000-0005-0000-0000-000051370000}"/>
    <cellStyle name="Normal 169 2 3" xfId="14162" xr:uid="{00000000-0005-0000-0000-000052370000}"/>
    <cellStyle name="Normal 169 2 3 2" xfId="14163" xr:uid="{00000000-0005-0000-0000-000053370000}"/>
    <cellStyle name="Normal 169 2 3 2 2" xfId="14164" xr:uid="{00000000-0005-0000-0000-000054370000}"/>
    <cellStyle name="Normal 169 2 3 3" xfId="14165" xr:uid="{00000000-0005-0000-0000-000055370000}"/>
    <cellStyle name="Normal 169 2 4" xfId="14166" xr:uid="{00000000-0005-0000-0000-000056370000}"/>
    <cellStyle name="Normal 169 2 4 2" xfId="14167" xr:uid="{00000000-0005-0000-0000-000057370000}"/>
    <cellStyle name="Normal 169 2 4 2 2" xfId="14168" xr:uid="{00000000-0005-0000-0000-000058370000}"/>
    <cellStyle name="Normal 169 2 4 3" xfId="14169" xr:uid="{00000000-0005-0000-0000-000059370000}"/>
    <cellStyle name="Normal 169 2 5" xfId="14170" xr:uid="{00000000-0005-0000-0000-00005A370000}"/>
    <cellStyle name="Normal 169 3" xfId="14171" xr:uid="{00000000-0005-0000-0000-00005B370000}"/>
    <cellStyle name="Normal 169 3 2" xfId="14172" xr:uid="{00000000-0005-0000-0000-00005C370000}"/>
    <cellStyle name="Normal 169 3 2 2" xfId="14173" xr:uid="{00000000-0005-0000-0000-00005D370000}"/>
    <cellStyle name="Normal 169 3 2 2 2" xfId="14174" xr:uid="{00000000-0005-0000-0000-00005E370000}"/>
    <cellStyle name="Normal 169 3 2 3" xfId="14175" xr:uid="{00000000-0005-0000-0000-00005F370000}"/>
    <cellStyle name="Normal 169 3 2 3 2" xfId="14176" xr:uid="{00000000-0005-0000-0000-000060370000}"/>
    <cellStyle name="Normal 169 3 2 3 2 2" xfId="14177" xr:uid="{00000000-0005-0000-0000-000061370000}"/>
    <cellStyle name="Normal 169 3 2 3 3" xfId="14178" xr:uid="{00000000-0005-0000-0000-000062370000}"/>
    <cellStyle name="Normal 169 3 2 4" xfId="14179" xr:uid="{00000000-0005-0000-0000-000063370000}"/>
    <cellStyle name="Normal 169 3 3" xfId="14180" xr:uid="{00000000-0005-0000-0000-000064370000}"/>
    <cellStyle name="Normal 169 3 3 2" xfId="14181" xr:uid="{00000000-0005-0000-0000-000065370000}"/>
    <cellStyle name="Normal 169 3 3 2 2" xfId="14182" xr:uid="{00000000-0005-0000-0000-000066370000}"/>
    <cellStyle name="Normal 169 3 3 3" xfId="14183" xr:uid="{00000000-0005-0000-0000-000067370000}"/>
    <cellStyle name="Normal 169 3 4" xfId="14184" xr:uid="{00000000-0005-0000-0000-000068370000}"/>
    <cellStyle name="Normal 169 3 4 2" xfId="14185" xr:uid="{00000000-0005-0000-0000-000069370000}"/>
    <cellStyle name="Normal 169 3 4 2 2" xfId="14186" xr:uid="{00000000-0005-0000-0000-00006A370000}"/>
    <cellStyle name="Normal 169 3 4 3" xfId="14187" xr:uid="{00000000-0005-0000-0000-00006B370000}"/>
    <cellStyle name="Normal 169 3 5" xfId="14188" xr:uid="{00000000-0005-0000-0000-00006C370000}"/>
    <cellStyle name="Normal 169 3 5 2" xfId="14189" xr:uid="{00000000-0005-0000-0000-00006D370000}"/>
    <cellStyle name="Normal 169 3 5 2 2" xfId="14190" xr:uid="{00000000-0005-0000-0000-00006E370000}"/>
    <cellStyle name="Normal 169 3 5 3" xfId="14191" xr:uid="{00000000-0005-0000-0000-00006F370000}"/>
    <cellStyle name="Normal 169 3 6" xfId="14192" xr:uid="{00000000-0005-0000-0000-000070370000}"/>
    <cellStyle name="Normal 169 4" xfId="14193" xr:uid="{00000000-0005-0000-0000-000071370000}"/>
    <cellStyle name="Normal 169 4 2" xfId="14194" xr:uid="{00000000-0005-0000-0000-000072370000}"/>
    <cellStyle name="Normal 169 4 2 2" xfId="14195" xr:uid="{00000000-0005-0000-0000-000073370000}"/>
    <cellStyle name="Normal 169 4 3" xfId="14196" xr:uid="{00000000-0005-0000-0000-000074370000}"/>
    <cellStyle name="Normal 169 5" xfId="14197" xr:uid="{00000000-0005-0000-0000-000075370000}"/>
    <cellStyle name="Normal 169 5 2" xfId="14198" xr:uid="{00000000-0005-0000-0000-000076370000}"/>
    <cellStyle name="Normal 169 5 2 2" xfId="14199" xr:uid="{00000000-0005-0000-0000-000077370000}"/>
    <cellStyle name="Normal 169 5 3" xfId="14200" xr:uid="{00000000-0005-0000-0000-000078370000}"/>
    <cellStyle name="Normal 169 6" xfId="14201" xr:uid="{00000000-0005-0000-0000-000079370000}"/>
    <cellStyle name="Normal 169 6 2" xfId="14202" xr:uid="{00000000-0005-0000-0000-00007A370000}"/>
    <cellStyle name="Normal 169 6 2 2" xfId="14203" xr:uid="{00000000-0005-0000-0000-00007B370000}"/>
    <cellStyle name="Normal 169 6 3" xfId="14204" xr:uid="{00000000-0005-0000-0000-00007C370000}"/>
    <cellStyle name="Normal 169 7" xfId="14205" xr:uid="{00000000-0005-0000-0000-00007D370000}"/>
    <cellStyle name="Normal 17" xfId="64" xr:uid="{00000000-0005-0000-0000-000040000000}"/>
    <cellStyle name="Normal 17 2" xfId="14206" xr:uid="{00000000-0005-0000-0000-00007E370000}"/>
    <cellStyle name="Normal 17 2 2" xfId="14207" xr:uid="{00000000-0005-0000-0000-00007F370000}"/>
    <cellStyle name="Normal 17 2 2 2" xfId="14208" xr:uid="{00000000-0005-0000-0000-000080370000}"/>
    <cellStyle name="Normal 17 2 2 2 2" xfId="14209" xr:uid="{00000000-0005-0000-0000-000081370000}"/>
    <cellStyle name="Normal 17 2 2 3" xfId="14210" xr:uid="{00000000-0005-0000-0000-000082370000}"/>
    <cellStyle name="Normal 17 2 2 3 2" xfId="14211" xr:uid="{00000000-0005-0000-0000-000083370000}"/>
    <cellStyle name="Normal 17 2 2 3 2 2" xfId="14212" xr:uid="{00000000-0005-0000-0000-000084370000}"/>
    <cellStyle name="Normal 17 2 2 3 3" xfId="14213" xr:uid="{00000000-0005-0000-0000-000085370000}"/>
    <cellStyle name="Normal 17 2 2 4" xfId="14214" xr:uid="{00000000-0005-0000-0000-000086370000}"/>
    <cellStyle name="Normal 17 2 2 4 2" xfId="14215" xr:uid="{00000000-0005-0000-0000-000087370000}"/>
    <cellStyle name="Normal 17 2 2 4 2 2" xfId="14216" xr:uid="{00000000-0005-0000-0000-000088370000}"/>
    <cellStyle name="Normal 17 2 2 4 3" xfId="14217" xr:uid="{00000000-0005-0000-0000-000089370000}"/>
    <cellStyle name="Normal 17 2 2 5" xfId="14218" xr:uid="{00000000-0005-0000-0000-00008A370000}"/>
    <cellStyle name="Normal 17 2 3" xfId="14219" xr:uid="{00000000-0005-0000-0000-00008B370000}"/>
    <cellStyle name="Normal 17 2 3 2" xfId="14220" xr:uid="{00000000-0005-0000-0000-00008C370000}"/>
    <cellStyle name="Normal 17 2 3 2 2" xfId="14221" xr:uid="{00000000-0005-0000-0000-00008D370000}"/>
    <cellStyle name="Normal 17 2 3 2 2 2" xfId="14222" xr:uid="{00000000-0005-0000-0000-00008E370000}"/>
    <cellStyle name="Normal 17 2 3 2 3" xfId="14223" xr:uid="{00000000-0005-0000-0000-00008F370000}"/>
    <cellStyle name="Normal 17 2 3 2 3 2" xfId="14224" xr:uid="{00000000-0005-0000-0000-000090370000}"/>
    <cellStyle name="Normal 17 2 3 2 3 2 2" xfId="14225" xr:uid="{00000000-0005-0000-0000-000091370000}"/>
    <cellStyle name="Normal 17 2 3 2 3 3" xfId="14226" xr:uid="{00000000-0005-0000-0000-000092370000}"/>
    <cellStyle name="Normal 17 2 3 2 4" xfId="14227" xr:uid="{00000000-0005-0000-0000-000093370000}"/>
    <cellStyle name="Normal 17 2 3 3" xfId="14228" xr:uid="{00000000-0005-0000-0000-000094370000}"/>
    <cellStyle name="Normal 17 2 3 3 2" xfId="14229" xr:uid="{00000000-0005-0000-0000-000095370000}"/>
    <cellStyle name="Normal 17 2 3 3 2 2" xfId="14230" xr:uid="{00000000-0005-0000-0000-000096370000}"/>
    <cellStyle name="Normal 17 2 3 3 3" xfId="14231" xr:uid="{00000000-0005-0000-0000-000097370000}"/>
    <cellStyle name="Normal 17 2 3 4" xfId="14232" xr:uid="{00000000-0005-0000-0000-000098370000}"/>
    <cellStyle name="Normal 17 2 3 4 2" xfId="14233" xr:uid="{00000000-0005-0000-0000-000099370000}"/>
    <cellStyle name="Normal 17 2 3 4 2 2" xfId="14234" xr:uid="{00000000-0005-0000-0000-00009A370000}"/>
    <cellStyle name="Normal 17 2 3 4 3" xfId="14235" xr:uid="{00000000-0005-0000-0000-00009B370000}"/>
    <cellStyle name="Normal 17 2 3 5" xfId="14236" xr:uid="{00000000-0005-0000-0000-00009C370000}"/>
    <cellStyle name="Normal 17 2 3 5 2" xfId="14237" xr:uid="{00000000-0005-0000-0000-00009D370000}"/>
    <cellStyle name="Normal 17 2 3 5 2 2" xfId="14238" xr:uid="{00000000-0005-0000-0000-00009E370000}"/>
    <cellStyle name="Normal 17 2 3 5 3" xfId="14239" xr:uid="{00000000-0005-0000-0000-00009F370000}"/>
    <cellStyle name="Normal 17 2 3 6" xfId="14240" xr:uid="{00000000-0005-0000-0000-0000A0370000}"/>
    <cellStyle name="Normal 17 2 4" xfId="14241" xr:uid="{00000000-0005-0000-0000-0000A1370000}"/>
    <cellStyle name="Normal 17 3" xfId="14242" xr:uid="{00000000-0005-0000-0000-0000A2370000}"/>
    <cellStyle name="Normal 17 3 2" xfId="14243" xr:uid="{00000000-0005-0000-0000-0000A3370000}"/>
    <cellStyle name="Normal 17 3 2 2" xfId="14244" xr:uid="{00000000-0005-0000-0000-0000A4370000}"/>
    <cellStyle name="Normal 17 3 2 2 2" xfId="14245" xr:uid="{00000000-0005-0000-0000-0000A5370000}"/>
    <cellStyle name="Normal 17 3 2 3" xfId="14246" xr:uid="{00000000-0005-0000-0000-0000A6370000}"/>
    <cellStyle name="Normal 17 3 2 3 2" xfId="14247" xr:uid="{00000000-0005-0000-0000-0000A7370000}"/>
    <cellStyle name="Normal 17 3 2 3 2 2" xfId="14248" xr:uid="{00000000-0005-0000-0000-0000A8370000}"/>
    <cellStyle name="Normal 17 3 2 3 3" xfId="14249" xr:uid="{00000000-0005-0000-0000-0000A9370000}"/>
    <cellStyle name="Normal 17 3 2 4" xfId="14250" xr:uid="{00000000-0005-0000-0000-0000AA370000}"/>
    <cellStyle name="Normal 17 3 2 4 2" xfId="14251" xr:uid="{00000000-0005-0000-0000-0000AB370000}"/>
    <cellStyle name="Normal 17 3 2 4 2 2" xfId="14252" xr:uid="{00000000-0005-0000-0000-0000AC370000}"/>
    <cellStyle name="Normal 17 3 2 4 3" xfId="14253" xr:uid="{00000000-0005-0000-0000-0000AD370000}"/>
    <cellStyle name="Normal 17 3 2 5" xfId="14254" xr:uid="{00000000-0005-0000-0000-0000AE370000}"/>
    <cellStyle name="Normal 17 3 3" xfId="14255" xr:uid="{00000000-0005-0000-0000-0000AF370000}"/>
    <cellStyle name="Normal 17 3 3 2" xfId="14256" xr:uid="{00000000-0005-0000-0000-0000B0370000}"/>
    <cellStyle name="Normal 17 3 3 2 2" xfId="14257" xr:uid="{00000000-0005-0000-0000-0000B1370000}"/>
    <cellStyle name="Normal 17 3 3 3" xfId="14258" xr:uid="{00000000-0005-0000-0000-0000B2370000}"/>
    <cellStyle name="Normal 17 3 4" xfId="14259" xr:uid="{00000000-0005-0000-0000-0000B3370000}"/>
    <cellStyle name="Normal 17 3 4 2" xfId="14260" xr:uid="{00000000-0005-0000-0000-0000B4370000}"/>
    <cellStyle name="Normal 17 3 4 2 2" xfId="14261" xr:uid="{00000000-0005-0000-0000-0000B5370000}"/>
    <cellStyle name="Normal 17 3 4 3" xfId="14262" xr:uid="{00000000-0005-0000-0000-0000B6370000}"/>
    <cellStyle name="Normal 17 3 5" xfId="14263" xr:uid="{00000000-0005-0000-0000-0000B7370000}"/>
    <cellStyle name="Normal 17 3 5 2" xfId="14264" xr:uid="{00000000-0005-0000-0000-0000B8370000}"/>
    <cellStyle name="Normal 17 3 5 2 2" xfId="14265" xr:uid="{00000000-0005-0000-0000-0000B9370000}"/>
    <cellStyle name="Normal 17 3 5 3" xfId="14266" xr:uid="{00000000-0005-0000-0000-0000BA370000}"/>
    <cellStyle name="Normal 17 3 6" xfId="14267" xr:uid="{00000000-0005-0000-0000-0000BB370000}"/>
    <cellStyle name="Normal 17 4" xfId="14268" xr:uid="{00000000-0005-0000-0000-0000BC370000}"/>
    <cellStyle name="Normal 17 4 2" xfId="14269" xr:uid="{00000000-0005-0000-0000-0000BD370000}"/>
    <cellStyle name="Normal 17 4 2 2" xfId="14270" xr:uid="{00000000-0005-0000-0000-0000BE370000}"/>
    <cellStyle name="Normal 17 4 3" xfId="14271" xr:uid="{00000000-0005-0000-0000-0000BF370000}"/>
    <cellStyle name="Normal 17 4 3 2" xfId="14272" xr:uid="{00000000-0005-0000-0000-0000C0370000}"/>
    <cellStyle name="Normal 17 4 3 2 2" xfId="14273" xr:uid="{00000000-0005-0000-0000-0000C1370000}"/>
    <cellStyle name="Normal 17 4 3 3" xfId="14274" xr:uid="{00000000-0005-0000-0000-0000C2370000}"/>
    <cellStyle name="Normal 17 4 4" xfId="14275" xr:uid="{00000000-0005-0000-0000-0000C3370000}"/>
    <cellStyle name="Normal 17 4 4 2" xfId="14276" xr:uid="{00000000-0005-0000-0000-0000C4370000}"/>
    <cellStyle name="Normal 17 4 4 2 2" xfId="14277" xr:uid="{00000000-0005-0000-0000-0000C5370000}"/>
    <cellStyle name="Normal 17 4 4 3" xfId="14278" xr:uid="{00000000-0005-0000-0000-0000C6370000}"/>
    <cellStyle name="Normal 17 4 5" xfId="14279" xr:uid="{00000000-0005-0000-0000-0000C7370000}"/>
    <cellStyle name="Normal 17 5" xfId="14280" xr:uid="{00000000-0005-0000-0000-0000C8370000}"/>
    <cellStyle name="Normal 17 5 2" xfId="14281" xr:uid="{00000000-0005-0000-0000-0000C9370000}"/>
    <cellStyle name="Normal 17 5 2 2" xfId="14282" xr:uid="{00000000-0005-0000-0000-0000CA370000}"/>
    <cellStyle name="Normal 17 5 2 2 2" xfId="14283" xr:uid="{00000000-0005-0000-0000-0000CB370000}"/>
    <cellStyle name="Normal 17 5 2 3" xfId="14284" xr:uid="{00000000-0005-0000-0000-0000CC370000}"/>
    <cellStyle name="Normal 17 5 2 3 2" xfId="14285" xr:uid="{00000000-0005-0000-0000-0000CD370000}"/>
    <cellStyle name="Normal 17 5 2 3 2 2" xfId="14286" xr:uid="{00000000-0005-0000-0000-0000CE370000}"/>
    <cellStyle name="Normal 17 5 2 3 3" xfId="14287" xr:uid="{00000000-0005-0000-0000-0000CF370000}"/>
    <cellStyle name="Normal 17 5 2 4" xfId="14288" xr:uid="{00000000-0005-0000-0000-0000D0370000}"/>
    <cellStyle name="Normal 17 5 3" xfId="14289" xr:uid="{00000000-0005-0000-0000-0000D1370000}"/>
    <cellStyle name="Normal 17 5 3 2" xfId="14290" xr:uid="{00000000-0005-0000-0000-0000D2370000}"/>
    <cellStyle name="Normal 17 5 3 2 2" xfId="14291" xr:uid="{00000000-0005-0000-0000-0000D3370000}"/>
    <cellStyle name="Normal 17 5 3 3" xfId="14292" xr:uid="{00000000-0005-0000-0000-0000D4370000}"/>
    <cellStyle name="Normal 17 5 4" xfId="14293" xr:uid="{00000000-0005-0000-0000-0000D5370000}"/>
    <cellStyle name="Normal 17 5 4 2" xfId="14294" xr:uid="{00000000-0005-0000-0000-0000D6370000}"/>
    <cellStyle name="Normal 17 5 4 2 2" xfId="14295" xr:uid="{00000000-0005-0000-0000-0000D7370000}"/>
    <cellStyle name="Normal 17 5 4 3" xfId="14296" xr:uid="{00000000-0005-0000-0000-0000D8370000}"/>
    <cellStyle name="Normal 17 5 5" xfId="14297" xr:uid="{00000000-0005-0000-0000-0000D9370000}"/>
    <cellStyle name="Normal 17 5 5 2" xfId="14298" xr:uid="{00000000-0005-0000-0000-0000DA370000}"/>
    <cellStyle name="Normal 17 5 5 2 2" xfId="14299" xr:uid="{00000000-0005-0000-0000-0000DB370000}"/>
    <cellStyle name="Normal 17 5 5 3" xfId="14300" xr:uid="{00000000-0005-0000-0000-0000DC370000}"/>
    <cellStyle name="Normal 17 5 6" xfId="14301" xr:uid="{00000000-0005-0000-0000-0000DD370000}"/>
    <cellStyle name="Normal 17 6" xfId="14302" xr:uid="{00000000-0005-0000-0000-0000DE370000}"/>
    <cellStyle name="Normal 17 7" xfId="14303" xr:uid="{00000000-0005-0000-0000-0000DF370000}"/>
    <cellStyle name="Normal 170" xfId="14304" xr:uid="{00000000-0005-0000-0000-0000E0370000}"/>
    <cellStyle name="Normal 170 2" xfId="14305" xr:uid="{00000000-0005-0000-0000-0000E1370000}"/>
    <cellStyle name="Normal 170 2 2" xfId="14306" xr:uid="{00000000-0005-0000-0000-0000E2370000}"/>
    <cellStyle name="Normal 170 2 2 2" xfId="14307" xr:uid="{00000000-0005-0000-0000-0000E3370000}"/>
    <cellStyle name="Normal 170 2 3" xfId="14308" xr:uid="{00000000-0005-0000-0000-0000E4370000}"/>
    <cellStyle name="Normal 170 2 3 2" xfId="14309" xr:uid="{00000000-0005-0000-0000-0000E5370000}"/>
    <cellStyle name="Normal 170 2 3 2 2" xfId="14310" xr:uid="{00000000-0005-0000-0000-0000E6370000}"/>
    <cellStyle name="Normal 170 2 3 3" xfId="14311" xr:uid="{00000000-0005-0000-0000-0000E7370000}"/>
    <cellStyle name="Normal 170 2 4" xfId="14312" xr:uid="{00000000-0005-0000-0000-0000E8370000}"/>
    <cellStyle name="Normal 170 2 4 2" xfId="14313" xr:uid="{00000000-0005-0000-0000-0000E9370000}"/>
    <cellStyle name="Normal 170 2 4 2 2" xfId="14314" xr:uid="{00000000-0005-0000-0000-0000EA370000}"/>
    <cellStyle name="Normal 170 2 4 3" xfId="14315" xr:uid="{00000000-0005-0000-0000-0000EB370000}"/>
    <cellStyle name="Normal 170 2 5" xfId="14316" xr:uid="{00000000-0005-0000-0000-0000EC370000}"/>
    <cellStyle name="Normal 170 3" xfId="14317" xr:uid="{00000000-0005-0000-0000-0000ED370000}"/>
    <cellStyle name="Normal 170 3 2" xfId="14318" xr:uid="{00000000-0005-0000-0000-0000EE370000}"/>
    <cellStyle name="Normal 170 3 2 2" xfId="14319" xr:uid="{00000000-0005-0000-0000-0000EF370000}"/>
    <cellStyle name="Normal 170 3 2 2 2" xfId="14320" xr:uid="{00000000-0005-0000-0000-0000F0370000}"/>
    <cellStyle name="Normal 170 3 2 3" xfId="14321" xr:uid="{00000000-0005-0000-0000-0000F1370000}"/>
    <cellStyle name="Normal 170 3 2 3 2" xfId="14322" xr:uid="{00000000-0005-0000-0000-0000F2370000}"/>
    <cellStyle name="Normal 170 3 2 3 2 2" xfId="14323" xr:uid="{00000000-0005-0000-0000-0000F3370000}"/>
    <cellStyle name="Normal 170 3 2 3 3" xfId="14324" xr:uid="{00000000-0005-0000-0000-0000F4370000}"/>
    <cellStyle name="Normal 170 3 2 4" xfId="14325" xr:uid="{00000000-0005-0000-0000-0000F5370000}"/>
    <cellStyle name="Normal 170 3 3" xfId="14326" xr:uid="{00000000-0005-0000-0000-0000F6370000}"/>
    <cellStyle name="Normal 170 3 3 2" xfId="14327" xr:uid="{00000000-0005-0000-0000-0000F7370000}"/>
    <cellStyle name="Normal 170 3 3 2 2" xfId="14328" xr:uid="{00000000-0005-0000-0000-0000F8370000}"/>
    <cellStyle name="Normal 170 3 3 3" xfId="14329" xr:uid="{00000000-0005-0000-0000-0000F9370000}"/>
    <cellStyle name="Normal 170 3 4" xfId="14330" xr:uid="{00000000-0005-0000-0000-0000FA370000}"/>
    <cellStyle name="Normal 170 3 4 2" xfId="14331" xr:uid="{00000000-0005-0000-0000-0000FB370000}"/>
    <cellStyle name="Normal 170 3 4 2 2" xfId="14332" xr:uid="{00000000-0005-0000-0000-0000FC370000}"/>
    <cellStyle name="Normal 170 3 4 3" xfId="14333" xr:uid="{00000000-0005-0000-0000-0000FD370000}"/>
    <cellStyle name="Normal 170 3 5" xfId="14334" xr:uid="{00000000-0005-0000-0000-0000FE370000}"/>
    <cellStyle name="Normal 170 3 5 2" xfId="14335" xr:uid="{00000000-0005-0000-0000-0000FF370000}"/>
    <cellStyle name="Normal 170 3 5 2 2" xfId="14336" xr:uid="{00000000-0005-0000-0000-000000380000}"/>
    <cellStyle name="Normal 170 3 5 3" xfId="14337" xr:uid="{00000000-0005-0000-0000-000001380000}"/>
    <cellStyle name="Normal 170 3 6" xfId="14338" xr:uid="{00000000-0005-0000-0000-000002380000}"/>
    <cellStyle name="Normal 170 4" xfId="14339" xr:uid="{00000000-0005-0000-0000-000003380000}"/>
    <cellStyle name="Normal 170 4 2" xfId="14340" xr:uid="{00000000-0005-0000-0000-000004380000}"/>
    <cellStyle name="Normal 170 4 2 2" xfId="14341" xr:uid="{00000000-0005-0000-0000-000005380000}"/>
    <cellStyle name="Normal 170 4 3" xfId="14342" xr:uid="{00000000-0005-0000-0000-000006380000}"/>
    <cellStyle name="Normal 170 5" xfId="14343" xr:uid="{00000000-0005-0000-0000-000007380000}"/>
    <cellStyle name="Normal 170 5 2" xfId="14344" xr:uid="{00000000-0005-0000-0000-000008380000}"/>
    <cellStyle name="Normal 170 5 2 2" xfId="14345" xr:uid="{00000000-0005-0000-0000-000009380000}"/>
    <cellStyle name="Normal 170 5 3" xfId="14346" xr:uid="{00000000-0005-0000-0000-00000A380000}"/>
    <cellStyle name="Normal 170 6" xfId="14347" xr:uid="{00000000-0005-0000-0000-00000B380000}"/>
    <cellStyle name="Normal 170 6 2" xfId="14348" xr:uid="{00000000-0005-0000-0000-00000C380000}"/>
    <cellStyle name="Normal 170 6 2 2" xfId="14349" xr:uid="{00000000-0005-0000-0000-00000D380000}"/>
    <cellStyle name="Normal 170 6 3" xfId="14350" xr:uid="{00000000-0005-0000-0000-00000E380000}"/>
    <cellStyle name="Normal 170 7" xfId="14351" xr:uid="{00000000-0005-0000-0000-00000F380000}"/>
    <cellStyle name="Normal 171" xfId="14352" xr:uid="{00000000-0005-0000-0000-000010380000}"/>
    <cellStyle name="Normal 171 2" xfId="14353" xr:uid="{00000000-0005-0000-0000-000011380000}"/>
    <cellStyle name="Normal 171 2 2" xfId="14354" xr:uid="{00000000-0005-0000-0000-000012380000}"/>
    <cellStyle name="Normal 171 2 2 2" xfId="14355" xr:uid="{00000000-0005-0000-0000-000013380000}"/>
    <cellStyle name="Normal 171 2 3" xfId="14356" xr:uid="{00000000-0005-0000-0000-000014380000}"/>
    <cellStyle name="Normal 171 2 3 2" xfId="14357" xr:uid="{00000000-0005-0000-0000-000015380000}"/>
    <cellStyle name="Normal 171 2 3 2 2" xfId="14358" xr:uid="{00000000-0005-0000-0000-000016380000}"/>
    <cellStyle name="Normal 171 2 3 3" xfId="14359" xr:uid="{00000000-0005-0000-0000-000017380000}"/>
    <cellStyle name="Normal 171 2 4" xfId="14360" xr:uid="{00000000-0005-0000-0000-000018380000}"/>
    <cellStyle name="Normal 171 2 4 2" xfId="14361" xr:uid="{00000000-0005-0000-0000-000019380000}"/>
    <cellStyle name="Normal 171 2 4 2 2" xfId="14362" xr:uid="{00000000-0005-0000-0000-00001A380000}"/>
    <cellStyle name="Normal 171 2 4 3" xfId="14363" xr:uid="{00000000-0005-0000-0000-00001B380000}"/>
    <cellStyle name="Normal 171 2 5" xfId="14364" xr:uid="{00000000-0005-0000-0000-00001C380000}"/>
    <cellStyle name="Normal 171 3" xfId="14365" xr:uid="{00000000-0005-0000-0000-00001D380000}"/>
    <cellStyle name="Normal 171 3 2" xfId="14366" xr:uid="{00000000-0005-0000-0000-00001E380000}"/>
    <cellStyle name="Normal 171 3 2 2" xfId="14367" xr:uid="{00000000-0005-0000-0000-00001F380000}"/>
    <cellStyle name="Normal 171 3 2 2 2" xfId="14368" xr:uid="{00000000-0005-0000-0000-000020380000}"/>
    <cellStyle name="Normal 171 3 2 3" xfId="14369" xr:uid="{00000000-0005-0000-0000-000021380000}"/>
    <cellStyle name="Normal 171 3 2 3 2" xfId="14370" xr:uid="{00000000-0005-0000-0000-000022380000}"/>
    <cellStyle name="Normal 171 3 2 3 2 2" xfId="14371" xr:uid="{00000000-0005-0000-0000-000023380000}"/>
    <cellStyle name="Normal 171 3 2 3 3" xfId="14372" xr:uid="{00000000-0005-0000-0000-000024380000}"/>
    <cellStyle name="Normal 171 3 2 4" xfId="14373" xr:uid="{00000000-0005-0000-0000-000025380000}"/>
    <cellStyle name="Normal 171 3 3" xfId="14374" xr:uid="{00000000-0005-0000-0000-000026380000}"/>
    <cellStyle name="Normal 171 3 3 2" xfId="14375" xr:uid="{00000000-0005-0000-0000-000027380000}"/>
    <cellStyle name="Normal 171 3 3 2 2" xfId="14376" xr:uid="{00000000-0005-0000-0000-000028380000}"/>
    <cellStyle name="Normal 171 3 3 3" xfId="14377" xr:uid="{00000000-0005-0000-0000-000029380000}"/>
    <cellStyle name="Normal 171 3 4" xfId="14378" xr:uid="{00000000-0005-0000-0000-00002A380000}"/>
    <cellStyle name="Normal 171 3 4 2" xfId="14379" xr:uid="{00000000-0005-0000-0000-00002B380000}"/>
    <cellStyle name="Normal 171 3 4 2 2" xfId="14380" xr:uid="{00000000-0005-0000-0000-00002C380000}"/>
    <cellStyle name="Normal 171 3 4 3" xfId="14381" xr:uid="{00000000-0005-0000-0000-00002D380000}"/>
    <cellStyle name="Normal 171 3 5" xfId="14382" xr:uid="{00000000-0005-0000-0000-00002E380000}"/>
    <cellStyle name="Normal 171 3 5 2" xfId="14383" xr:uid="{00000000-0005-0000-0000-00002F380000}"/>
    <cellStyle name="Normal 171 3 5 2 2" xfId="14384" xr:uid="{00000000-0005-0000-0000-000030380000}"/>
    <cellStyle name="Normal 171 3 5 3" xfId="14385" xr:uid="{00000000-0005-0000-0000-000031380000}"/>
    <cellStyle name="Normal 171 3 6" xfId="14386" xr:uid="{00000000-0005-0000-0000-000032380000}"/>
    <cellStyle name="Normal 171 4" xfId="14387" xr:uid="{00000000-0005-0000-0000-000033380000}"/>
    <cellStyle name="Normal 171 4 2" xfId="14388" xr:uid="{00000000-0005-0000-0000-000034380000}"/>
    <cellStyle name="Normal 171 4 2 2" xfId="14389" xr:uid="{00000000-0005-0000-0000-000035380000}"/>
    <cellStyle name="Normal 171 4 3" xfId="14390" xr:uid="{00000000-0005-0000-0000-000036380000}"/>
    <cellStyle name="Normal 171 5" xfId="14391" xr:uid="{00000000-0005-0000-0000-000037380000}"/>
    <cellStyle name="Normal 171 5 2" xfId="14392" xr:uid="{00000000-0005-0000-0000-000038380000}"/>
    <cellStyle name="Normal 171 5 2 2" xfId="14393" xr:uid="{00000000-0005-0000-0000-000039380000}"/>
    <cellStyle name="Normal 171 5 3" xfId="14394" xr:uid="{00000000-0005-0000-0000-00003A380000}"/>
    <cellStyle name="Normal 171 6" xfId="14395" xr:uid="{00000000-0005-0000-0000-00003B380000}"/>
    <cellStyle name="Normal 171 6 2" xfId="14396" xr:uid="{00000000-0005-0000-0000-00003C380000}"/>
    <cellStyle name="Normal 171 6 2 2" xfId="14397" xr:uid="{00000000-0005-0000-0000-00003D380000}"/>
    <cellStyle name="Normal 171 6 3" xfId="14398" xr:uid="{00000000-0005-0000-0000-00003E380000}"/>
    <cellStyle name="Normal 171 7" xfId="14399" xr:uid="{00000000-0005-0000-0000-00003F380000}"/>
    <cellStyle name="Normal 172" xfId="14400" xr:uid="{00000000-0005-0000-0000-000040380000}"/>
    <cellStyle name="Normal 172 2" xfId="14401" xr:uid="{00000000-0005-0000-0000-000041380000}"/>
    <cellStyle name="Normal 172 2 2" xfId="14402" xr:uid="{00000000-0005-0000-0000-000042380000}"/>
    <cellStyle name="Normal 172 2 2 2" xfId="14403" xr:uid="{00000000-0005-0000-0000-000043380000}"/>
    <cellStyle name="Normal 172 2 3" xfId="14404" xr:uid="{00000000-0005-0000-0000-000044380000}"/>
    <cellStyle name="Normal 172 2 3 2" xfId="14405" xr:uid="{00000000-0005-0000-0000-000045380000}"/>
    <cellStyle name="Normal 172 2 3 2 2" xfId="14406" xr:uid="{00000000-0005-0000-0000-000046380000}"/>
    <cellStyle name="Normal 172 2 3 3" xfId="14407" xr:uid="{00000000-0005-0000-0000-000047380000}"/>
    <cellStyle name="Normal 172 2 4" xfId="14408" xr:uid="{00000000-0005-0000-0000-000048380000}"/>
    <cellStyle name="Normal 172 2 4 2" xfId="14409" xr:uid="{00000000-0005-0000-0000-000049380000}"/>
    <cellStyle name="Normal 172 2 4 2 2" xfId="14410" xr:uid="{00000000-0005-0000-0000-00004A380000}"/>
    <cellStyle name="Normal 172 2 4 3" xfId="14411" xr:uid="{00000000-0005-0000-0000-00004B380000}"/>
    <cellStyle name="Normal 172 2 5" xfId="14412" xr:uid="{00000000-0005-0000-0000-00004C380000}"/>
    <cellStyle name="Normal 172 3" xfId="14413" xr:uid="{00000000-0005-0000-0000-00004D380000}"/>
    <cellStyle name="Normal 172 3 2" xfId="14414" xr:uid="{00000000-0005-0000-0000-00004E380000}"/>
    <cellStyle name="Normal 172 3 2 2" xfId="14415" xr:uid="{00000000-0005-0000-0000-00004F380000}"/>
    <cellStyle name="Normal 172 3 2 2 2" xfId="14416" xr:uid="{00000000-0005-0000-0000-000050380000}"/>
    <cellStyle name="Normal 172 3 2 3" xfId="14417" xr:uid="{00000000-0005-0000-0000-000051380000}"/>
    <cellStyle name="Normal 172 3 2 3 2" xfId="14418" xr:uid="{00000000-0005-0000-0000-000052380000}"/>
    <cellStyle name="Normal 172 3 2 3 2 2" xfId="14419" xr:uid="{00000000-0005-0000-0000-000053380000}"/>
    <cellStyle name="Normal 172 3 2 3 3" xfId="14420" xr:uid="{00000000-0005-0000-0000-000054380000}"/>
    <cellStyle name="Normal 172 3 2 4" xfId="14421" xr:uid="{00000000-0005-0000-0000-000055380000}"/>
    <cellStyle name="Normal 172 3 3" xfId="14422" xr:uid="{00000000-0005-0000-0000-000056380000}"/>
    <cellStyle name="Normal 172 3 3 2" xfId="14423" xr:uid="{00000000-0005-0000-0000-000057380000}"/>
    <cellStyle name="Normal 172 3 3 2 2" xfId="14424" xr:uid="{00000000-0005-0000-0000-000058380000}"/>
    <cellStyle name="Normal 172 3 3 3" xfId="14425" xr:uid="{00000000-0005-0000-0000-000059380000}"/>
    <cellStyle name="Normal 172 3 4" xfId="14426" xr:uid="{00000000-0005-0000-0000-00005A380000}"/>
    <cellStyle name="Normal 172 3 4 2" xfId="14427" xr:uid="{00000000-0005-0000-0000-00005B380000}"/>
    <cellStyle name="Normal 172 3 4 2 2" xfId="14428" xr:uid="{00000000-0005-0000-0000-00005C380000}"/>
    <cellStyle name="Normal 172 3 4 3" xfId="14429" xr:uid="{00000000-0005-0000-0000-00005D380000}"/>
    <cellStyle name="Normal 172 3 5" xfId="14430" xr:uid="{00000000-0005-0000-0000-00005E380000}"/>
    <cellStyle name="Normal 172 3 5 2" xfId="14431" xr:uid="{00000000-0005-0000-0000-00005F380000}"/>
    <cellStyle name="Normal 172 3 5 2 2" xfId="14432" xr:uid="{00000000-0005-0000-0000-000060380000}"/>
    <cellStyle name="Normal 172 3 5 3" xfId="14433" xr:uid="{00000000-0005-0000-0000-000061380000}"/>
    <cellStyle name="Normal 172 3 6" xfId="14434" xr:uid="{00000000-0005-0000-0000-000062380000}"/>
    <cellStyle name="Normal 172 4" xfId="14435" xr:uid="{00000000-0005-0000-0000-000063380000}"/>
    <cellStyle name="Normal 172 4 2" xfId="14436" xr:uid="{00000000-0005-0000-0000-000064380000}"/>
    <cellStyle name="Normal 172 4 2 2" xfId="14437" xr:uid="{00000000-0005-0000-0000-000065380000}"/>
    <cellStyle name="Normal 172 4 3" xfId="14438" xr:uid="{00000000-0005-0000-0000-000066380000}"/>
    <cellStyle name="Normal 172 5" xfId="14439" xr:uid="{00000000-0005-0000-0000-000067380000}"/>
    <cellStyle name="Normal 172 5 2" xfId="14440" xr:uid="{00000000-0005-0000-0000-000068380000}"/>
    <cellStyle name="Normal 172 5 2 2" xfId="14441" xr:uid="{00000000-0005-0000-0000-000069380000}"/>
    <cellStyle name="Normal 172 5 3" xfId="14442" xr:uid="{00000000-0005-0000-0000-00006A380000}"/>
    <cellStyle name="Normal 172 6" xfId="14443" xr:uid="{00000000-0005-0000-0000-00006B380000}"/>
    <cellStyle name="Normal 172 6 2" xfId="14444" xr:uid="{00000000-0005-0000-0000-00006C380000}"/>
    <cellStyle name="Normal 172 6 2 2" xfId="14445" xr:uid="{00000000-0005-0000-0000-00006D380000}"/>
    <cellStyle name="Normal 172 6 3" xfId="14446" xr:uid="{00000000-0005-0000-0000-00006E380000}"/>
    <cellStyle name="Normal 172 7" xfId="14447" xr:uid="{00000000-0005-0000-0000-00006F380000}"/>
    <cellStyle name="Normal 173" xfId="14448" xr:uid="{00000000-0005-0000-0000-000070380000}"/>
    <cellStyle name="Normal 173 2" xfId="14449" xr:uid="{00000000-0005-0000-0000-000071380000}"/>
    <cellStyle name="Normal 173 2 2" xfId="14450" xr:uid="{00000000-0005-0000-0000-000072380000}"/>
    <cellStyle name="Normal 173 2 2 2" xfId="14451" xr:uid="{00000000-0005-0000-0000-000073380000}"/>
    <cellStyle name="Normal 173 2 3" xfId="14452" xr:uid="{00000000-0005-0000-0000-000074380000}"/>
    <cellStyle name="Normal 173 2 3 2" xfId="14453" xr:uid="{00000000-0005-0000-0000-000075380000}"/>
    <cellStyle name="Normal 173 2 3 2 2" xfId="14454" xr:uid="{00000000-0005-0000-0000-000076380000}"/>
    <cellStyle name="Normal 173 2 3 3" xfId="14455" xr:uid="{00000000-0005-0000-0000-000077380000}"/>
    <cellStyle name="Normal 173 2 4" xfId="14456" xr:uid="{00000000-0005-0000-0000-000078380000}"/>
    <cellStyle name="Normal 173 2 4 2" xfId="14457" xr:uid="{00000000-0005-0000-0000-000079380000}"/>
    <cellStyle name="Normal 173 2 4 2 2" xfId="14458" xr:uid="{00000000-0005-0000-0000-00007A380000}"/>
    <cellStyle name="Normal 173 2 4 3" xfId="14459" xr:uid="{00000000-0005-0000-0000-00007B380000}"/>
    <cellStyle name="Normal 173 2 5" xfId="14460" xr:uid="{00000000-0005-0000-0000-00007C380000}"/>
    <cellStyle name="Normal 173 3" xfId="14461" xr:uid="{00000000-0005-0000-0000-00007D380000}"/>
    <cellStyle name="Normal 173 3 2" xfId="14462" xr:uid="{00000000-0005-0000-0000-00007E380000}"/>
    <cellStyle name="Normal 173 3 2 2" xfId="14463" xr:uid="{00000000-0005-0000-0000-00007F380000}"/>
    <cellStyle name="Normal 173 3 2 2 2" xfId="14464" xr:uid="{00000000-0005-0000-0000-000080380000}"/>
    <cellStyle name="Normal 173 3 2 3" xfId="14465" xr:uid="{00000000-0005-0000-0000-000081380000}"/>
    <cellStyle name="Normal 173 3 2 3 2" xfId="14466" xr:uid="{00000000-0005-0000-0000-000082380000}"/>
    <cellStyle name="Normal 173 3 2 3 2 2" xfId="14467" xr:uid="{00000000-0005-0000-0000-000083380000}"/>
    <cellStyle name="Normal 173 3 2 3 3" xfId="14468" xr:uid="{00000000-0005-0000-0000-000084380000}"/>
    <cellStyle name="Normal 173 3 2 4" xfId="14469" xr:uid="{00000000-0005-0000-0000-000085380000}"/>
    <cellStyle name="Normal 173 3 3" xfId="14470" xr:uid="{00000000-0005-0000-0000-000086380000}"/>
    <cellStyle name="Normal 173 3 3 2" xfId="14471" xr:uid="{00000000-0005-0000-0000-000087380000}"/>
    <cellStyle name="Normal 173 3 3 2 2" xfId="14472" xr:uid="{00000000-0005-0000-0000-000088380000}"/>
    <cellStyle name="Normal 173 3 3 3" xfId="14473" xr:uid="{00000000-0005-0000-0000-000089380000}"/>
    <cellStyle name="Normal 173 3 4" xfId="14474" xr:uid="{00000000-0005-0000-0000-00008A380000}"/>
    <cellStyle name="Normal 173 3 4 2" xfId="14475" xr:uid="{00000000-0005-0000-0000-00008B380000}"/>
    <cellStyle name="Normal 173 3 4 2 2" xfId="14476" xr:uid="{00000000-0005-0000-0000-00008C380000}"/>
    <cellStyle name="Normal 173 3 4 3" xfId="14477" xr:uid="{00000000-0005-0000-0000-00008D380000}"/>
    <cellStyle name="Normal 173 3 5" xfId="14478" xr:uid="{00000000-0005-0000-0000-00008E380000}"/>
    <cellStyle name="Normal 173 3 5 2" xfId="14479" xr:uid="{00000000-0005-0000-0000-00008F380000}"/>
    <cellStyle name="Normal 173 3 5 2 2" xfId="14480" xr:uid="{00000000-0005-0000-0000-000090380000}"/>
    <cellStyle name="Normal 173 3 5 3" xfId="14481" xr:uid="{00000000-0005-0000-0000-000091380000}"/>
    <cellStyle name="Normal 173 3 6" xfId="14482" xr:uid="{00000000-0005-0000-0000-000092380000}"/>
    <cellStyle name="Normal 173 4" xfId="14483" xr:uid="{00000000-0005-0000-0000-000093380000}"/>
    <cellStyle name="Normal 173 4 2" xfId="14484" xr:uid="{00000000-0005-0000-0000-000094380000}"/>
    <cellStyle name="Normal 173 4 2 2" xfId="14485" xr:uid="{00000000-0005-0000-0000-000095380000}"/>
    <cellStyle name="Normal 173 4 3" xfId="14486" xr:uid="{00000000-0005-0000-0000-000096380000}"/>
    <cellStyle name="Normal 173 5" xfId="14487" xr:uid="{00000000-0005-0000-0000-000097380000}"/>
    <cellStyle name="Normal 173 5 2" xfId="14488" xr:uid="{00000000-0005-0000-0000-000098380000}"/>
    <cellStyle name="Normal 173 5 2 2" xfId="14489" xr:uid="{00000000-0005-0000-0000-000099380000}"/>
    <cellStyle name="Normal 173 5 3" xfId="14490" xr:uid="{00000000-0005-0000-0000-00009A380000}"/>
    <cellStyle name="Normal 173 6" xfId="14491" xr:uid="{00000000-0005-0000-0000-00009B380000}"/>
    <cellStyle name="Normal 173 6 2" xfId="14492" xr:uid="{00000000-0005-0000-0000-00009C380000}"/>
    <cellStyle name="Normal 173 6 2 2" xfId="14493" xr:uid="{00000000-0005-0000-0000-00009D380000}"/>
    <cellStyle name="Normal 173 6 3" xfId="14494" xr:uid="{00000000-0005-0000-0000-00009E380000}"/>
    <cellStyle name="Normal 173 7" xfId="14495" xr:uid="{00000000-0005-0000-0000-00009F380000}"/>
    <cellStyle name="Normal 174" xfId="14496" xr:uid="{00000000-0005-0000-0000-0000A0380000}"/>
    <cellStyle name="Normal 174 2" xfId="14497" xr:uid="{00000000-0005-0000-0000-0000A1380000}"/>
    <cellStyle name="Normal 174 2 2" xfId="14498" xr:uid="{00000000-0005-0000-0000-0000A2380000}"/>
    <cellStyle name="Normal 174 2 2 2" xfId="14499" xr:uid="{00000000-0005-0000-0000-0000A3380000}"/>
    <cellStyle name="Normal 174 2 3" xfId="14500" xr:uid="{00000000-0005-0000-0000-0000A4380000}"/>
    <cellStyle name="Normal 174 2 3 2" xfId="14501" xr:uid="{00000000-0005-0000-0000-0000A5380000}"/>
    <cellStyle name="Normal 174 2 3 2 2" xfId="14502" xr:uid="{00000000-0005-0000-0000-0000A6380000}"/>
    <cellStyle name="Normal 174 2 3 3" xfId="14503" xr:uid="{00000000-0005-0000-0000-0000A7380000}"/>
    <cellStyle name="Normal 174 2 4" xfId="14504" xr:uid="{00000000-0005-0000-0000-0000A8380000}"/>
    <cellStyle name="Normal 174 2 4 2" xfId="14505" xr:uid="{00000000-0005-0000-0000-0000A9380000}"/>
    <cellStyle name="Normal 174 2 4 2 2" xfId="14506" xr:uid="{00000000-0005-0000-0000-0000AA380000}"/>
    <cellStyle name="Normal 174 2 4 3" xfId="14507" xr:uid="{00000000-0005-0000-0000-0000AB380000}"/>
    <cellStyle name="Normal 174 2 5" xfId="14508" xr:uid="{00000000-0005-0000-0000-0000AC380000}"/>
    <cellStyle name="Normal 174 3" xfId="14509" xr:uid="{00000000-0005-0000-0000-0000AD380000}"/>
    <cellStyle name="Normal 174 3 2" xfId="14510" xr:uid="{00000000-0005-0000-0000-0000AE380000}"/>
    <cellStyle name="Normal 174 3 2 2" xfId="14511" xr:uid="{00000000-0005-0000-0000-0000AF380000}"/>
    <cellStyle name="Normal 174 3 2 2 2" xfId="14512" xr:uid="{00000000-0005-0000-0000-0000B0380000}"/>
    <cellStyle name="Normal 174 3 2 3" xfId="14513" xr:uid="{00000000-0005-0000-0000-0000B1380000}"/>
    <cellStyle name="Normal 174 3 2 3 2" xfId="14514" xr:uid="{00000000-0005-0000-0000-0000B2380000}"/>
    <cellStyle name="Normal 174 3 2 3 2 2" xfId="14515" xr:uid="{00000000-0005-0000-0000-0000B3380000}"/>
    <cellStyle name="Normal 174 3 2 3 3" xfId="14516" xr:uid="{00000000-0005-0000-0000-0000B4380000}"/>
    <cellStyle name="Normal 174 3 2 4" xfId="14517" xr:uid="{00000000-0005-0000-0000-0000B5380000}"/>
    <cellStyle name="Normal 174 3 3" xfId="14518" xr:uid="{00000000-0005-0000-0000-0000B6380000}"/>
    <cellStyle name="Normal 174 3 3 2" xfId="14519" xr:uid="{00000000-0005-0000-0000-0000B7380000}"/>
    <cellStyle name="Normal 174 3 3 2 2" xfId="14520" xr:uid="{00000000-0005-0000-0000-0000B8380000}"/>
    <cellStyle name="Normal 174 3 3 3" xfId="14521" xr:uid="{00000000-0005-0000-0000-0000B9380000}"/>
    <cellStyle name="Normal 174 3 4" xfId="14522" xr:uid="{00000000-0005-0000-0000-0000BA380000}"/>
    <cellStyle name="Normal 174 3 4 2" xfId="14523" xr:uid="{00000000-0005-0000-0000-0000BB380000}"/>
    <cellStyle name="Normal 174 3 4 2 2" xfId="14524" xr:uid="{00000000-0005-0000-0000-0000BC380000}"/>
    <cellStyle name="Normal 174 3 4 3" xfId="14525" xr:uid="{00000000-0005-0000-0000-0000BD380000}"/>
    <cellStyle name="Normal 174 3 5" xfId="14526" xr:uid="{00000000-0005-0000-0000-0000BE380000}"/>
    <cellStyle name="Normal 174 3 5 2" xfId="14527" xr:uid="{00000000-0005-0000-0000-0000BF380000}"/>
    <cellStyle name="Normal 174 3 5 2 2" xfId="14528" xr:uid="{00000000-0005-0000-0000-0000C0380000}"/>
    <cellStyle name="Normal 174 3 5 3" xfId="14529" xr:uid="{00000000-0005-0000-0000-0000C1380000}"/>
    <cellStyle name="Normal 174 3 6" xfId="14530" xr:uid="{00000000-0005-0000-0000-0000C2380000}"/>
    <cellStyle name="Normal 174 4" xfId="14531" xr:uid="{00000000-0005-0000-0000-0000C3380000}"/>
    <cellStyle name="Normal 174 4 2" xfId="14532" xr:uid="{00000000-0005-0000-0000-0000C4380000}"/>
    <cellStyle name="Normal 174 4 2 2" xfId="14533" xr:uid="{00000000-0005-0000-0000-0000C5380000}"/>
    <cellStyle name="Normal 174 4 3" xfId="14534" xr:uid="{00000000-0005-0000-0000-0000C6380000}"/>
    <cellStyle name="Normal 174 5" xfId="14535" xr:uid="{00000000-0005-0000-0000-0000C7380000}"/>
    <cellStyle name="Normal 174 5 2" xfId="14536" xr:uid="{00000000-0005-0000-0000-0000C8380000}"/>
    <cellStyle name="Normal 174 5 2 2" xfId="14537" xr:uid="{00000000-0005-0000-0000-0000C9380000}"/>
    <cellStyle name="Normal 174 5 3" xfId="14538" xr:uid="{00000000-0005-0000-0000-0000CA380000}"/>
    <cellStyle name="Normal 174 6" xfId="14539" xr:uid="{00000000-0005-0000-0000-0000CB380000}"/>
    <cellStyle name="Normal 174 6 2" xfId="14540" xr:uid="{00000000-0005-0000-0000-0000CC380000}"/>
    <cellStyle name="Normal 174 6 2 2" xfId="14541" xr:uid="{00000000-0005-0000-0000-0000CD380000}"/>
    <cellStyle name="Normal 174 6 3" xfId="14542" xr:uid="{00000000-0005-0000-0000-0000CE380000}"/>
    <cellStyle name="Normal 174 7" xfId="14543" xr:uid="{00000000-0005-0000-0000-0000CF380000}"/>
    <cellStyle name="Normal 175" xfId="14544" xr:uid="{00000000-0005-0000-0000-0000D0380000}"/>
    <cellStyle name="Normal 175 2" xfId="14545" xr:uid="{00000000-0005-0000-0000-0000D1380000}"/>
    <cellStyle name="Normal 175 2 2" xfId="14546" xr:uid="{00000000-0005-0000-0000-0000D2380000}"/>
    <cellStyle name="Normal 175 2 2 2" xfId="14547" xr:uid="{00000000-0005-0000-0000-0000D3380000}"/>
    <cellStyle name="Normal 175 2 3" xfId="14548" xr:uid="{00000000-0005-0000-0000-0000D4380000}"/>
    <cellStyle name="Normal 175 2 3 2" xfId="14549" xr:uid="{00000000-0005-0000-0000-0000D5380000}"/>
    <cellStyle name="Normal 175 2 3 2 2" xfId="14550" xr:uid="{00000000-0005-0000-0000-0000D6380000}"/>
    <cellStyle name="Normal 175 2 3 3" xfId="14551" xr:uid="{00000000-0005-0000-0000-0000D7380000}"/>
    <cellStyle name="Normal 175 2 4" xfId="14552" xr:uid="{00000000-0005-0000-0000-0000D8380000}"/>
    <cellStyle name="Normal 175 2 4 2" xfId="14553" xr:uid="{00000000-0005-0000-0000-0000D9380000}"/>
    <cellStyle name="Normal 175 2 4 2 2" xfId="14554" xr:uid="{00000000-0005-0000-0000-0000DA380000}"/>
    <cellStyle name="Normal 175 2 4 3" xfId="14555" xr:uid="{00000000-0005-0000-0000-0000DB380000}"/>
    <cellStyle name="Normal 175 2 5" xfId="14556" xr:uid="{00000000-0005-0000-0000-0000DC380000}"/>
    <cellStyle name="Normal 175 3" xfId="14557" xr:uid="{00000000-0005-0000-0000-0000DD380000}"/>
    <cellStyle name="Normal 175 3 2" xfId="14558" xr:uid="{00000000-0005-0000-0000-0000DE380000}"/>
    <cellStyle name="Normal 175 3 2 2" xfId="14559" xr:uid="{00000000-0005-0000-0000-0000DF380000}"/>
    <cellStyle name="Normal 175 3 2 2 2" xfId="14560" xr:uid="{00000000-0005-0000-0000-0000E0380000}"/>
    <cellStyle name="Normal 175 3 2 3" xfId="14561" xr:uid="{00000000-0005-0000-0000-0000E1380000}"/>
    <cellStyle name="Normal 175 3 2 3 2" xfId="14562" xr:uid="{00000000-0005-0000-0000-0000E2380000}"/>
    <cellStyle name="Normal 175 3 2 3 2 2" xfId="14563" xr:uid="{00000000-0005-0000-0000-0000E3380000}"/>
    <cellStyle name="Normal 175 3 2 3 3" xfId="14564" xr:uid="{00000000-0005-0000-0000-0000E4380000}"/>
    <cellStyle name="Normal 175 3 2 4" xfId="14565" xr:uid="{00000000-0005-0000-0000-0000E5380000}"/>
    <cellStyle name="Normal 175 3 3" xfId="14566" xr:uid="{00000000-0005-0000-0000-0000E6380000}"/>
    <cellStyle name="Normal 175 3 3 2" xfId="14567" xr:uid="{00000000-0005-0000-0000-0000E7380000}"/>
    <cellStyle name="Normal 175 3 3 2 2" xfId="14568" xr:uid="{00000000-0005-0000-0000-0000E8380000}"/>
    <cellStyle name="Normal 175 3 3 3" xfId="14569" xr:uid="{00000000-0005-0000-0000-0000E9380000}"/>
    <cellStyle name="Normal 175 3 4" xfId="14570" xr:uid="{00000000-0005-0000-0000-0000EA380000}"/>
    <cellStyle name="Normal 175 3 4 2" xfId="14571" xr:uid="{00000000-0005-0000-0000-0000EB380000}"/>
    <cellStyle name="Normal 175 3 4 2 2" xfId="14572" xr:uid="{00000000-0005-0000-0000-0000EC380000}"/>
    <cellStyle name="Normal 175 3 4 3" xfId="14573" xr:uid="{00000000-0005-0000-0000-0000ED380000}"/>
    <cellStyle name="Normal 175 3 5" xfId="14574" xr:uid="{00000000-0005-0000-0000-0000EE380000}"/>
    <cellStyle name="Normal 175 3 5 2" xfId="14575" xr:uid="{00000000-0005-0000-0000-0000EF380000}"/>
    <cellStyle name="Normal 175 3 5 2 2" xfId="14576" xr:uid="{00000000-0005-0000-0000-0000F0380000}"/>
    <cellStyle name="Normal 175 3 5 3" xfId="14577" xr:uid="{00000000-0005-0000-0000-0000F1380000}"/>
    <cellStyle name="Normal 175 3 6" xfId="14578" xr:uid="{00000000-0005-0000-0000-0000F2380000}"/>
    <cellStyle name="Normal 175 4" xfId="14579" xr:uid="{00000000-0005-0000-0000-0000F3380000}"/>
    <cellStyle name="Normal 175 4 2" xfId="14580" xr:uid="{00000000-0005-0000-0000-0000F4380000}"/>
    <cellStyle name="Normal 175 4 2 2" xfId="14581" xr:uid="{00000000-0005-0000-0000-0000F5380000}"/>
    <cellStyle name="Normal 175 4 3" xfId="14582" xr:uid="{00000000-0005-0000-0000-0000F6380000}"/>
    <cellStyle name="Normal 175 5" xfId="14583" xr:uid="{00000000-0005-0000-0000-0000F7380000}"/>
    <cellStyle name="Normal 175 5 2" xfId="14584" xr:uid="{00000000-0005-0000-0000-0000F8380000}"/>
    <cellStyle name="Normal 175 5 2 2" xfId="14585" xr:uid="{00000000-0005-0000-0000-0000F9380000}"/>
    <cellStyle name="Normal 175 5 3" xfId="14586" xr:uid="{00000000-0005-0000-0000-0000FA380000}"/>
    <cellStyle name="Normal 175 6" xfId="14587" xr:uid="{00000000-0005-0000-0000-0000FB380000}"/>
    <cellStyle name="Normal 175 6 2" xfId="14588" xr:uid="{00000000-0005-0000-0000-0000FC380000}"/>
    <cellStyle name="Normal 175 6 2 2" xfId="14589" xr:uid="{00000000-0005-0000-0000-0000FD380000}"/>
    <cellStyle name="Normal 175 6 3" xfId="14590" xr:uid="{00000000-0005-0000-0000-0000FE380000}"/>
    <cellStyle name="Normal 175 7" xfId="14591" xr:uid="{00000000-0005-0000-0000-0000FF380000}"/>
    <cellStyle name="Normal 176" xfId="14592" xr:uid="{00000000-0005-0000-0000-000000390000}"/>
    <cellStyle name="Normal 176 2" xfId="14593" xr:uid="{00000000-0005-0000-0000-000001390000}"/>
    <cellStyle name="Normal 176 2 2" xfId="14594" xr:uid="{00000000-0005-0000-0000-000002390000}"/>
    <cellStyle name="Normal 176 2 2 2" xfId="14595" xr:uid="{00000000-0005-0000-0000-000003390000}"/>
    <cellStyle name="Normal 176 2 3" xfId="14596" xr:uid="{00000000-0005-0000-0000-000004390000}"/>
    <cellStyle name="Normal 176 2 3 2" xfId="14597" xr:uid="{00000000-0005-0000-0000-000005390000}"/>
    <cellStyle name="Normal 176 2 3 2 2" xfId="14598" xr:uid="{00000000-0005-0000-0000-000006390000}"/>
    <cellStyle name="Normal 176 2 3 3" xfId="14599" xr:uid="{00000000-0005-0000-0000-000007390000}"/>
    <cellStyle name="Normal 176 2 4" xfId="14600" xr:uid="{00000000-0005-0000-0000-000008390000}"/>
    <cellStyle name="Normal 176 2 4 2" xfId="14601" xr:uid="{00000000-0005-0000-0000-000009390000}"/>
    <cellStyle name="Normal 176 2 4 2 2" xfId="14602" xr:uid="{00000000-0005-0000-0000-00000A390000}"/>
    <cellStyle name="Normal 176 2 4 3" xfId="14603" xr:uid="{00000000-0005-0000-0000-00000B390000}"/>
    <cellStyle name="Normal 176 2 5" xfId="14604" xr:uid="{00000000-0005-0000-0000-00000C390000}"/>
    <cellStyle name="Normal 176 3" xfId="14605" xr:uid="{00000000-0005-0000-0000-00000D390000}"/>
    <cellStyle name="Normal 176 3 2" xfId="14606" xr:uid="{00000000-0005-0000-0000-00000E390000}"/>
    <cellStyle name="Normal 176 3 2 2" xfId="14607" xr:uid="{00000000-0005-0000-0000-00000F390000}"/>
    <cellStyle name="Normal 176 3 2 2 2" xfId="14608" xr:uid="{00000000-0005-0000-0000-000010390000}"/>
    <cellStyle name="Normal 176 3 2 3" xfId="14609" xr:uid="{00000000-0005-0000-0000-000011390000}"/>
    <cellStyle name="Normal 176 3 2 3 2" xfId="14610" xr:uid="{00000000-0005-0000-0000-000012390000}"/>
    <cellStyle name="Normal 176 3 2 3 2 2" xfId="14611" xr:uid="{00000000-0005-0000-0000-000013390000}"/>
    <cellStyle name="Normal 176 3 2 3 3" xfId="14612" xr:uid="{00000000-0005-0000-0000-000014390000}"/>
    <cellStyle name="Normal 176 3 2 4" xfId="14613" xr:uid="{00000000-0005-0000-0000-000015390000}"/>
    <cellStyle name="Normal 176 3 3" xfId="14614" xr:uid="{00000000-0005-0000-0000-000016390000}"/>
    <cellStyle name="Normal 176 3 3 2" xfId="14615" xr:uid="{00000000-0005-0000-0000-000017390000}"/>
    <cellStyle name="Normal 176 3 3 2 2" xfId="14616" xr:uid="{00000000-0005-0000-0000-000018390000}"/>
    <cellStyle name="Normal 176 3 3 3" xfId="14617" xr:uid="{00000000-0005-0000-0000-000019390000}"/>
    <cellStyle name="Normal 176 3 4" xfId="14618" xr:uid="{00000000-0005-0000-0000-00001A390000}"/>
    <cellStyle name="Normal 176 3 4 2" xfId="14619" xr:uid="{00000000-0005-0000-0000-00001B390000}"/>
    <cellStyle name="Normal 176 3 4 2 2" xfId="14620" xr:uid="{00000000-0005-0000-0000-00001C390000}"/>
    <cellStyle name="Normal 176 3 4 3" xfId="14621" xr:uid="{00000000-0005-0000-0000-00001D390000}"/>
    <cellStyle name="Normal 176 3 5" xfId="14622" xr:uid="{00000000-0005-0000-0000-00001E390000}"/>
    <cellStyle name="Normal 176 3 5 2" xfId="14623" xr:uid="{00000000-0005-0000-0000-00001F390000}"/>
    <cellStyle name="Normal 176 3 5 2 2" xfId="14624" xr:uid="{00000000-0005-0000-0000-000020390000}"/>
    <cellStyle name="Normal 176 3 5 3" xfId="14625" xr:uid="{00000000-0005-0000-0000-000021390000}"/>
    <cellStyle name="Normal 176 3 6" xfId="14626" xr:uid="{00000000-0005-0000-0000-000022390000}"/>
    <cellStyle name="Normal 176 4" xfId="14627" xr:uid="{00000000-0005-0000-0000-000023390000}"/>
    <cellStyle name="Normal 176 4 2" xfId="14628" xr:uid="{00000000-0005-0000-0000-000024390000}"/>
    <cellStyle name="Normal 176 4 2 2" xfId="14629" xr:uid="{00000000-0005-0000-0000-000025390000}"/>
    <cellStyle name="Normal 176 4 3" xfId="14630" xr:uid="{00000000-0005-0000-0000-000026390000}"/>
    <cellStyle name="Normal 176 5" xfId="14631" xr:uid="{00000000-0005-0000-0000-000027390000}"/>
    <cellStyle name="Normal 176 5 2" xfId="14632" xr:uid="{00000000-0005-0000-0000-000028390000}"/>
    <cellStyle name="Normal 176 5 2 2" xfId="14633" xr:uid="{00000000-0005-0000-0000-000029390000}"/>
    <cellStyle name="Normal 176 5 3" xfId="14634" xr:uid="{00000000-0005-0000-0000-00002A390000}"/>
    <cellStyle name="Normal 176 6" xfId="14635" xr:uid="{00000000-0005-0000-0000-00002B390000}"/>
    <cellStyle name="Normal 176 6 2" xfId="14636" xr:uid="{00000000-0005-0000-0000-00002C390000}"/>
    <cellStyle name="Normal 176 6 2 2" xfId="14637" xr:uid="{00000000-0005-0000-0000-00002D390000}"/>
    <cellStyle name="Normal 176 6 3" xfId="14638" xr:uid="{00000000-0005-0000-0000-00002E390000}"/>
    <cellStyle name="Normal 176 7" xfId="14639" xr:uid="{00000000-0005-0000-0000-00002F390000}"/>
    <cellStyle name="Normal 177" xfId="14640" xr:uid="{00000000-0005-0000-0000-000030390000}"/>
    <cellStyle name="Normal 177 2" xfId="14641" xr:uid="{00000000-0005-0000-0000-000031390000}"/>
    <cellStyle name="Normal 177 2 2" xfId="14642" xr:uid="{00000000-0005-0000-0000-000032390000}"/>
    <cellStyle name="Normal 177 2 2 2" xfId="14643" xr:uid="{00000000-0005-0000-0000-000033390000}"/>
    <cellStyle name="Normal 177 2 3" xfId="14644" xr:uid="{00000000-0005-0000-0000-000034390000}"/>
    <cellStyle name="Normal 177 2 3 2" xfId="14645" xr:uid="{00000000-0005-0000-0000-000035390000}"/>
    <cellStyle name="Normal 177 2 3 2 2" xfId="14646" xr:uid="{00000000-0005-0000-0000-000036390000}"/>
    <cellStyle name="Normal 177 2 3 3" xfId="14647" xr:uid="{00000000-0005-0000-0000-000037390000}"/>
    <cellStyle name="Normal 177 2 4" xfId="14648" xr:uid="{00000000-0005-0000-0000-000038390000}"/>
    <cellStyle name="Normal 177 2 4 2" xfId="14649" xr:uid="{00000000-0005-0000-0000-000039390000}"/>
    <cellStyle name="Normal 177 2 4 2 2" xfId="14650" xr:uid="{00000000-0005-0000-0000-00003A390000}"/>
    <cellStyle name="Normal 177 2 4 3" xfId="14651" xr:uid="{00000000-0005-0000-0000-00003B390000}"/>
    <cellStyle name="Normal 177 2 5" xfId="14652" xr:uid="{00000000-0005-0000-0000-00003C390000}"/>
    <cellStyle name="Normal 177 3" xfId="14653" xr:uid="{00000000-0005-0000-0000-00003D390000}"/>
    <cellStyle name="Normal 177 3 2" xfId="14654" xr:uid="{00000000-0005-0000-0000-00003E390000}"/>
    <cellStyle name="Normal 177 3 2 2" xfId="14655" xr:uid="{00000000-0005-0000-0000-00003F390000}"/>
    <cellStyle name="Normal 177 3 2 2 2" xfId="14656" xr:uid="{00000000-0005-0000-0000-000040390000}"/>
    <cellStyle name="Normal 177 3 2 3" xfId="14657" xr:uid="{00000000-0005-0000-0000-000041390000}"/>
    <cellStyle name="Normal 177 3 2 3 2" xfId="14658" xr:uid="{00000000-0005-0000-0000-000042390000}"/>
    <cellStyle name="Normal 177 3 2 3 2 2" xfId="14659" xr:uid="{00000000-0005-0000-0000-000043390000}"/>
    <cellStyle name="Normal 177 3 2 3 3" xfId="14660" xr:uid="{00000000-0005-0000-0000-000044390000}"/>
    <cellStyle name="Normal 177 3 2 4" xfId="14661" xr:uid="{00000000-0005-0000-0000-000045390000}"/>
    <cellStyle name="Normal 177 3 3" xfId="14662" xr:uid="{00000000-0005-0000-0000-000046390000}"/>
    <cellStyle name="Normal 177 3 3 2" xfId="14663" xr:uid="{00000000-0005-0000-0000-000047390000}"/>
    <cellStyle name="Normal 177 3 3 2 2" xfId="14664" xr:uid="{00000000-0005-0000-0000-000048390000}"/>
    <cellStyle name="Normal 177 3 3 3" xfId="14665" xr:uid="{00000000-0005-0000-0000-000049390000}"/>
    <cellStyle name="Normal 177 3 4" xfId="14666" xr:uid="{00000000-0005-0000-0000-00004A390000}"/>
    <cellStyle name="Normal 177 3 4 2" xfId="14667" xr:uid="{00000000-0005-0000-0000-00004B390000}"/>
    <cellStyle name="Normal 177 3 4 2 2" xfId="14668" xr:uid="{00000000-0005-0000-0000-00004C390000}"/>
    <cellStyle name="Normal 177 3 4 3" xfId="14669" xr:uid="{00000000-0005-0000-0000-00004D390000}"/>
    <cellStyle name="Normal 177 3 5" xfId="14670" xr:uid="{00000000-0005-0000-0000-00004E390000}"/>
    <cellStyle name="Normal 177 3 5 2" xfId="14671" xr:uid="{00000000-0005-0000-0000-00004F390000}"/>
    <cellStyle name="Normal 177 3 5 2 2" xfId="14672" xr:uid="{00000000-0005-0000-0000-000050390000}"/>
    <cellStyle name="Normal 177 3 5 3" xfId="14673" xr:uid="{00000000-0005-0000-0000-000051390000}"/>
    <cellStyle name="Normal 177 3 6" xfId="14674" xr:uid="{00000000-0005-0000-0000-000052390000}"/>
    <cellStyle name="Normal 177 4" xfId="14675" xr:uid="{00000000-0005-0000-0000-000053390000}"/>
    <cellStyle name="Normal 177 4 2" xfId="14676" xr:uid="{00000000-0005-0000-0000-000054390000}"/>
    <cellStyle name="Normal 177 4 2 2" xfId="14677" xr:uid="{00000000-0005-0000-0000-000055390000}"/>
    <cellStyle name="Normal 177 4 3" xfId="14678" xr:uid="{00000000-0005-0000-0000-000056390000}"/>
    <cellStyle name="Normal 177 5" xfId="14679" xr:uid="{00000000-0005-0000-0000-000057390000}"/>
    <cellStyle name="Normal 177 5 2" xfId="14680" xr:uid="{00000000-0005-0000-0000-000058390000}"/>
    <cellStyle name="Normal 177 5 2 2" xfId="14681" xr:uid="{00000000-0005-0000-0000-000059390000}"/>
    <cellStyle name="Normal 177 5 3" xfId="14682" xr:uid="{00000000-0005-0000-0000-00005A390000}"/>
    <cellStyle name="Normal 177 6" xfId="14683" xr:uid="{00000000-0005-0000-0000-00005B390000}"/>
    <cellStyle name="Normal 177 6 2" xfId="14684" xr:uid="{00000000-0005-0000-0000-00005C390000}"/>
    <cellStyle name="Normal 177 6 2 2" xfId="14685" xr:uid="{00000000-0005-0000-0000-00005D390000}"/>
    <cellStyle name="Normal 177 6 3" xfId="14686" xr:uid="{00000000-0005-0000-0000-00005E390000}"/>
    <cellStyle name="Normal 177 7" xfId="14687" xr:uid="{00000000-0005-0000-0000-00005F390000}"/>
    <cellStyle name="Normal 178" xfId="14688" xr:uid="{00000000-0005-0000-0000-000060390000}"/>
    <cellStyle name="Normal 178 2" xfId="14689" xr:uid="{00000000-0005-0000-0000-000061390000}"/>
    <cellStyle name="Normal 178 2 2" xfId="14690" xr:uid="{00000000-0005-0000-0000-000062390000}"/>
    <cellStyle name="Normal 178 2 2 2" xfId="14691" xr:uid="{00000000-0005-0000-0000-000063390000}"/>
    <cellStyle name="Normal 178 2 3" xfId="14692" xr:uid="{00000000-0005-0000-0000-000064390000}"/>
    <cellStyle name="Normal 178 2 3 2" xfId="14693" xr:uid="{00000000-0005-0000-0000-000065390000}"/>
    <cellStyle name="Normal 178 2 3 2 2" xfId="14694" xr:uid="{00000000-0005-0000-0000-000066390000}"/>
    <cellStyle name="Normal 178 2 3 3" xfId="14695" xr:uid="{00000000-0005-0000-0000-000067390000}"/>
    <cellStyle name="Normal 178 2 4" xfId="14696" xr:uid="{00000000-0005-0000-0000-000068390000}"/>
    <cellStyle name="Normal 178 2 4 2" xfId="14697" xr:uid="{00000000-0005-0000-0000-000069390000}"/>
    <cellStyle name="Normal 178 2 4 2 2" xfId="14698" xr:uid="{00000000-0005-0000-0000-00006A390000}"/>
    <cellStyle name="Normal 178 2 4 3" xfId="14699" xr:uid="{00000000-0005-0000-0000-00006B390000}"/>
    <cellStyle name="Normal 178 2 5" xfId="14700" xr:uid="{00000000-0005-0000-0000-00006C390000}"/>
    <cellStyle name="Normal 178 3" xfId="14701" xr:uid="{00000000-0005-0000-0000-00006D390000}"/>
    <cellStyle name="Normal 178 3 2" xfId="14702" xr:uid="{00000000-0005-0000-0000-00006E390000}"/>
    <cellStyle name="Normal 178 3 2 2" xfId="14703" xr:uid="{00000000-0005-0000-0000-00006F390000}"/>
    <cellStyle name="Normal 178 3 2 2 2" xfId="14704" xr:uid="{00000000-0005-0000-0000-000070390000}"/>
    <cellStyle name="Normal 178 3 2 3" xfId="14705" xr:uid="{00000000-0005-0000-0000-000071390000}"/>
    <cellStyle name="Normal 178 3 2 3 2" xfId="14706" xr:uid="{00000000-0005-0000-0000-000072390000}"/>
    <cellStyle name="Normal 178 3 2 3 2 2" xfId="14707" xr:uid="{00000000-0005-0000-0000-000073390000}"/>
    <cellStyle name="Normal 178 3 2 3 3" xfId="14708" xr:uid="{00000000-0005-0000-0000-000074390000}"/>
    <cellStyle name="Normal 178 3 2 4" xfId="14709" xr:uid="{00000000-0005-0000-0000-000075390000}"/>
    <cellStyle name="Normal 178 3 3" xfId="14710" xr:uid="{00000000-0005-0000-0000-000076390000}"/>
    <cellStyle name="Normal 178 3 3 2" xfId="14711" xr:uid="{00000000-0005-0000-0000-000077390000}"/>
    <cellStyle name="Normal 178 3 3 2 2" xfId="14712" xr:uid="{00000000-0005-0000-0000-000078390000}"/>
    <cellStyle name="Normal 178 3 3 3" xfId="14713" xr:uid="{00000000-0005-0000-0000-000079390000}"/>
    <cellStyle name="Normal 178 3 4" xfId="14714" xr:uid="{00000000-0005-0000-0000-00007A390000}"/>
    <cellStyle name="Normal 178 3 4 2" xfId="14715" xr:uid="{00000000-0005-0000-0000-00007B390000}"/>
    <cellStyle name="Normal 178 3 4 2 2" xfId="14716" xr:uid="{00000000-0005-0000-0000-00007C390000}"/>
    <cellStyle name="Normal 178 3 4 3" xfId="14717" xr:uid="{00000000-0005-0000-0000-00007D390000}"/>
    <cellStyle name="Normal 178 3 5" xfId="14718" xr:uid="{00000000-0005-0000-0000-00007E390000}"/>
    <cellStyle name="Normal 178 3 5 2" xfId="14719" xr:uid="{00000000-0005-0000-0000-00007F390000}"/>
    <cellStyle name="Normal 178 3 5 2 2" xfId="14720" xr:uid="{00000000-0005-0000-0000-000080390000}"/>
    <cellStyle name="Normal 178 3 5 3" xfId="14721" xr:uid="{00000000-0005-0000-0000-000081390000}"/>
    <cellStyle name="Normal 178 3 6" xfId="14722" xr:uid="{00000000-0005-0000-0000-000082390000}"/>
    <cellStyle name="Normal 178 4" xfId="14723" xr:uid="{00000000-0005-0000-0000-000083390000}"/>
    <cellStyle name="Normal 178 4 2" xfId="14724" xr:uid="{00000000-0005-0000-0000-000084390000}"/>
    <cellStyle name="Normal 178 4 2 2" xfId="14725" xr:uid="{00000000-0005-0000-0000-000085390000}"/>
    <cellStyle name="Normal 178 4 3" xfId="14726" xr:uid="{00000000-0005-0000-0000-000086390000}"/>
    <cellStyle name="Normal 178 5" xfId="14727" xr:uid="{00000000-0005-0000-0000-000087390000}"/>
    <cellStyle name="Normal 178 5 2" xfId="14728" xr:uid="{00000000-0005-0000-0000-000088390000}"/>
    <cellStyle name="Normal 178 5 2 2" xfId="14729" xr:uid="{00000000-0005-0000-0000-000089390000}"/>
    <cellStyle name="Normal 178 5 3" xfId="14730" xr:uid="{00000000-0005-0000-0000-00008A390000}"/>
    <cellStyle name="Normal 178 6" xfId="14731" xr:uid="{00000000-0005-0000-0000-00008B390000}"/>
    <cellStyle name="Normal 178 6 2" xfId="14732" xr:uid="{00000000-0005-0000-0000-00008C390000}"/>
    <cellStyle name="Normal 178 6 2 2" xfId="14733" xr:uid="{00000000-0005-0000-0000-00008D390000}"/>
    <cellStyle name="Normal 178 6 3" xfId="14734" xr:uid="{00000000-0005-0000-0000-00008E390000}"/>
    <cellStyle name="Normal 178 7" xfId="14735" xr:uid="{00000000-0005-0000-0000-00008F390000}"/>
    <cellStyle name="Normal 179" xfId="14736" xr:uid="{00000000-0005-0000-0000-000090390000}"/>
    <cellStyle name="Normal 179 2" xfId="14737" xr:uid="{00000000-0005-0000-0000-000091390000}"/>
    <cellStyle name="Normal 179 2 2" xfId="14738" xr:uid="{00000000-0005-0000-0000-000092390000}"/>
    <cellStyle name="Normal 179 2 2 2" xfId="14739" xr:uid="{00000000-0005-0000-0000-000093390000}"/>
    <cellStyle name="Normal 179 2 3" xfId="14740" xr:uid="{00000000-0005-0000-0000-000094390000}"/>
    <cellStyle name="Normal 179 2 3 2" xfId="14741" xr:uid="{00000000-0005-0000-0000-000095390000}"/>
    <cellStyle name="Normal 179 2 3 2 2" xfId="14742" xr:uid="{00000000-0005-0000-0000-000096390000}"/>
    <cellStyle name="Normal 179 2 3 3" xfId="14743" xr:uid="{00000000-0005-0000-0000-000097390000}"/>
    <cellStyle name="Normal 179 2 4" xfId="14744" xr:uid="{00000000-0005-0000-0000-000098390000}"/>
    <cellStyle name="Normal 179 2 4 2" xfId="14745" xr:uid="{00000000-0005-0000-0000-000099390000}"/>
    <cellStyle name="Normal 179 2 4 2 2" xfId="14746" xr:uid="{00000000-0005-0000-0000-00009A390000}"/>
    <cellStyle name="Normal 179 2 4 3" xfId="14747" xr:uid="{00000000-0005-0000-0000-00009B390000}"/>
    <cellStyle name="Normal 179 2 5" xfId="14748" xr:uid="{00000000-0005-0000-0000-00009C390000}"/>
    <cellStyle name="Normal 179 3" xfId="14749" xr:uid="{00000000-0005-0000-0000-00009D390000}"/>
    <cellStyle name="Normal 179 3 2" xfId="14750" xr:uid="{00000000-0005-0000-0000-00009E390000}"/>
    <cellStyle name="Normal 179 3 2 2" xfId="14751" xr:uid="{00000000-0005-0000-0000-00009F390000}"/>
    <cellStyle name="Normal 179 3 2 2 2" xfId="14752" xr:uid="{00000000-0005-0000-0000-0000A0390000}"/>
    <cellStyle name="Normal 179 3 2 3" xfId="14753" xr:uid="{00000000-0005-0000-0000-0000A1390000}"/>
    <cellStyle name="Normal 179 3 2 3 2" xfId="14754" xr:uid="{00000000-0005-0000-0000-0000A2390000}"/>
    <cellStyle name="Normal 179 3 2 3 2 2" xfId="14755" xr:uid="{00000000-0005-0000-0000-0000A3390000}"/>
    <cellStyle name="Normal 179 3 2 3 3" xfId="14756" xr:uid="{00000000-0005-0000-0000-0000A4390000}"/>
    <cellStyle name="Normal 179 3 2 4" xfId="14757" xr:uid="{00000000-0005-0000-0000-0000A5390000}"/>
    <cellStyle name="Normal 179 3 3" xfId="14758" xr:uid="{00000000-0005-0000-0000-0000A6390000}"/>
    <cellStyle name="Normal 179 3 3 2" xfId="14759" xr:uid="{00000000-0005-0000-0000-0000A7390000}"/>
    <cellStyle name="Normal 179 3 3 2 2" xfId="14760" xr:uid="{00000000-0005-0000-0000-0000A8390000}"/>
    <cellStyle name="Normal 179 3 3 3" xfId="14761" xr:uid="{00000000-0005-0000-0000-0000A9390000}"/>
    <cellStyle name="Normal 179 3 4" xfId="14762" xr:uid="{00000000-0005-0000-0000-0000AA390000}"/>
    <cellStyle name="Normal 179 3 4 2" xfId="14763" xr:uid="{00000000-0005-0000-0000-0000AB390000}"/>
    <cellStyle name="Normal 179 3 4 2 2" xfId="14764" xr:uid="{00000000-0005-0000-0000-0000AC390000}"/>
    <cellStyle name="Normal 179 3 4 3" xfId="14765" xr:uid="{00000000-0005-0000-0000-0000AD390000}"/>
    <cellStyle name="Normal 179 3 5" xfId="14766" xr:uid="{00000000-0005-0000-0000-0000AE390000}"/>
    <cellStyle name="Normal 179 3 5 2" xfId="14767" xr:uid="{00000000-0005-0000-0000-0000AF390000}"/>
    <cellStyle name="Normal 179 3 5 2 2" xfId="14768" xr:uid="{00000000-0005-0000-0000-0000B0390000}"/>
    <cellStyle name="Normal 179 3 5 3" xfId="14769" xr:uid="{00000000-0005-0000-0000-0000B1390000}"/>
    <cellStyle name="Normal 179 3 6" xfId="14770" xr:uid="{00000000-0005-0000-0000-0000B2390000}"/>
    <cellStyle name="Normal 179 4" xfId="14771" xr:uid="{00000000-0005-0000-0000-0000B3390000}"/>
    <cellStyle name="Normal 179 4 2" xfId="14772" xr:uid="{00000000-0005-0000-0000-0000B4390000}"/>
    <cellStyle name="Normal 179 4 2 2" xfId="14773" xr:uid="{00000000-0005-0000-0000-0000B5390000}"/>
    <cellStyle name="Normal 179 4 3" xfId="14774" xr:uid="{00000000-0005-0000-0000-0000B6390000}"/>
    <cellStyle name="Normal 179 5" xfId="14775" xr:uid="{00000000-0005-0000-0000-0000B7390000}"/>
    <cellStyle name="Normal 179 5 2" xfId="14776" xr:uid="{00000000-0005-0000-0000-0000B8390000}"/>
    <cellStyle name="Normal 179 5 2 2" xfId="14777" xr:uid="{00000000-0005-0000-0000-0000B9390000}"/>
    <cellStyle name="Normal 179 5 3" xfId="14778" xr:uid="{00000000-0005-0000-0000-0000BA390000}"/>
    <cellStyle name="Normal 179 6" xfId="14779" xr:uid="{00000000-0005-0000-0000-0000BB390000}"/>
    <cellStyle name="Normal 179 6 2" xfId="14780" xr:uid="{00000000-0005-0000-0000-0000BC390000}"/>
    <cellStyle name="Normal 179 6 2 2" xfId="14781" xr:uid="{00000000-0005-0000-0000-0000BD390000}"/>
    <cellStyle name="Normal 179 6 3" xfId="14782" xr:uid="{00000000-0005-0000-0000-0000BE390000}"/>
    <cellStyle name="Normal 179 7" xfId="14783" xr:uid="{00000000-0005-0000-0000-0000BF390000}"/>
    <cellStyle name="Normal 18" xfId="14784" xr:uid="{00000000-0005-0000-0000-0000C0390000}"/>
    <cellStyle name="Normal 18 2" xfId="14785" xr:uid="{00000000-0005-0000-0000-0000C1390000}"/>
    <cellStyle name="Normal 18 2 2" xfId="14786" xr:uid="{00000000-0005-0000-0000-0000C2390000}"/>
    <cellStyle name="Normal 18 2 2 2" xfId="14787" xr:uid="{00000000-0005-0000-0000-0000C3390000}"/>
    <cellStyle name="Normal 18 2 2 2 2" xfId="14788" xr:uid="{00000000-0005-0000-0000-0000C4390000}"/>
    <cellStyle name="Normal 18 2 2 3" xfId="14789" xr:uid="{00000000-0005-0000-0000-0000C5390000}"/>
    <cellStyle name="Normal 18 2 2 3 2" xfId="14790" xr:uid="{00000000-0005-0000-0000-0000C6390000}"/>
    <cellStyle name="Normal 18 2 2 3 2 2" xfId="14791" xr:uid="{00000000-0005-0000-0000-0000C7390000}"/>
    <cellStyle name="Normal 18 2 2 3 3" xfId="14792" xr:uid="{00000000-0005-0000-0000-0000C8390000}"/>
    <cellStyle name="Normal 18 2 2 4" xfId="14793" xr:uid="{00000000-0005-0000-0000-0000C9390000}"/>
    <cellStyle name="Normal 18 2 2 4 2" xfId="14794" xr:uid="{00000000-0005-0000-0000-0000CA390000}"/>
    <cellStyle name="Normal 18 2 2 4 2 2" xfId="14795" xr:uid="{00000000-0005-0000-0000-0000CB390000}"/>
    <cellStyle name="Normal 18 2 2 4 3" xfId="14796" xr:uid="{00000000-0005-0000-0000-0000CC390000}"/>
    <cellStyle name="Normal 18 2 2 5" xfId="14797" xr:uid="{00000000-0005-0000-0000-0000CD390000}"/>
    <cellStyle name="Normal 18 2 3" xfId="14798" xr:uid="{00000000-0005-0000-0000-0000CE390000}"/>
    <cellStyle name="Normal 18 2 3 2" xfId="14799" xr:uid="{00000000-0005-0000-0000-0000CF390000}"/>
    <cellStyle name="Normal 18 2 3 2 2" xfId="14800" xr:uid="{00000000-0005-0000-0000-0000D0390000}"/>
    <cellStyle name="Normal 18 2 3 2 2 2" xfId="14801" xr:uid="{00000000-0005-0000-0000-0000D1390000}"/>
    <cellStyle name="Normal 18 2 3 2 3" xfId="14802" xr:uid="{00000000-0005-0000-0000-0000D2390000}"/>
    <cellStyle name="Normal 18 2 3 2 3 2" xfId="14803" xr:uid="{00000000-0005-0000-0000-0000D3390000}"/>
    <cellStyle name="Normal 18 2 3 2 3 2 2" xfId="14804" xr:uid="{00000000-0005-0000-0000-0000D4390000}"/>
    <cellStyle name="Normal 18 2 3 2 3 3" xfId="14805" xr:uid="{00000000-0005-0000-0000-0000D5390000}"/>
    <cellStyle name="Normal 18 2 3 2 4" xfId="14806" xr:uid="{00000000-0005-0000-0000-0000D6390000}"/>
    <cellStyle name="Normal 18 2 3 3" xfId="14807" xr:uid="{00000000-0005-0000-0000-0000D7390000}"/>
    <cellStyle name="Normal 18 2 3 3 2" xfId="14808" xr:uid="{00000000-0005-0000-0000-0000D8390000}"/>
    <cellStyle name="Normal 18 2 3 3 2 2" xfId="14809" xr:uid="{00000000-0005-0000-0000-0000D9390000}"/>
    <cellStyle name="Normal 18 2 3 3 3" xfId="14810" xr:uid="{00000000-0005-0000-0000-0000DA390000}"/>
    <cellStyle name="Normal 18 2 3 4" xfId="14811" xr:uid="{00000000-0005-0000-0000-0000DB390000}"/>
    <cellStyle name="Normal 18 2 3 4 2" xfId="14812" xr:uid="{00000000-0005-0000-0000-0000DC390000}"/>
    <cellStyle name="Normal 18 2 3 4 2 2" xfId="14813" xr:uid="{00000000-0005-0000-0000-0000DD390000}"/>
    <cellStyle name="Normal 18 2 3 4 3" xfId="14814" xr:uid="{00000000-0005-0000-0000-0000DE390000}"/>
    <cellStyle name="Normal 18 2 3 5" xfId="14815" xr:uid="{00000000-0005-0000-0000-0000DF390000}"/>
    <cellStyle name="Normal 18 2 3 5 2" xfId="14816" xr:uid="{00000000-0005-0000-0000-0000E0390000}"/>
    <cellStyle name="Normal 18 2 3 5 2 2" xfId="14817" xr:uid="{00000000-0005-0000-0000-0000E1390000}"/>
    <cellStyle name="Normal 18 2 3 5 3" xfId="14818" xr:uid="{00000000-0005-0000-0000-0000E2390000}"/>
    <cellStyle name="Normal 18 2 3 6" xfId="14819" xr:uid="{00000000-0005-0000-0000-0000E3390000}"/>
    <cellStyle name="Normal 18 2 4" xfId="14820" xr:uid="{00000000-0005-0000-0000-0000E4390000}"/>
    <cellStyle name="Normal 18 2 4 2" xfId="14821" xr:uid="{00000000-0005-0000-0000-0000E5390000}"/>
    <cellStyle name="Normal 18 2 4 2 2" xfId="14822" xr:uid="{00000000-0005-0000-0000-0000E6390000}"/>
    <cellStyle name="Normal 18 2 4 3" xfId="14823" xr:uid="{00000000-0005-0000-0000-0000E7390000}"/>
    <cellStyle name="Normal 18 2 5" xfId="14824" xr:uid="{00000000-0005-0000-0000-0000E8390000}"/>
    <cellStyle name="Normal 18 2 5 2" xfId="14825" xr:uid="{00000000-0005-0000-0000-0000E9390000}"/>
    <cellStyle name="Normal 18 2 5 2 2" xfId="14826" xr:uid="{00000000-0005-0000-0000-0000EA390000}"/>
    <cellStyle name="Normal 18 2 5 3" xfId="14827" xr:uid="{00000000-0005-0000-0000-0000EB390000}"/>
    <cellStyle name="Normal 18 2 6" xfId="14828" xr:uid="{00000000-0005-0000-0000-0000EC390000}"/>
    <cellStyle name="Normal 18 2 6 2" xfId="14829" xr:uid="{00000000-0005-0000-0000-0000ED390000}"/>
    <cellStyle name="Normal 18 2 6 2 2" xfId="14830" xr:uid="{00000000-0005-0000-0000-0000EE390000}"/>
    <cellStyle name="Normal 18 2 6 3" xfId="14831" xr:uid="{00000000-0005-0000-0000-0000EF390000}"/>
    <cellStyle name="Normal 18 2 7" xfId="14832" xr:uid="{00000000-0005-0000-0000-0000F0390000}"/>
    <cellStyle name="Normal 18 3" xfId="14833" xr:uid="{00000000-0005-0000-0000-0000F1390000}"/>
    <cellStyle name="Normal 18 3 2" xfId="14834" xr:uid="{00000000-0005-0000-0000-0000F2390000}"/>
    <cellStyle name="Normal 18 3 2 2" xfId="14835" xr:uid="{00000000-0005-0000-0000-0000F3390000}"/>
    <cellStyle name="Normal 18 3 2 2 2" xfId="14836" xr:uid="{00000000-0005-0000-0000-0000F4390000}"/>
    <cellStyle name="Normal 18 3 2 3" xfId="14837" xr:uid="{00000000-0005-0000-0000-0000F5390000}"/>
    <cellStyle name="Normal 18 3 2 3 2" xfId="14838" xr:uid="{00000000-0005-0000-0000-0000F6390000}"/>
    <cellStyle name="Normal 18 3 2 3 2 2" xfId="14839" xr:uid="{00000000-0005-0000-0000-0000F7390000}"/>
    <cellStyle name="Normal 18 3 2 3 3" xfId="14840" xr:uid="{00000000-0005-0000-0000-0000F8390000}"/>
    <cellStyle name="Normal 18 3 2 4" xfId="14841" xr:uid="{00000000-0005-0000-0000-0000F9390000}"/>
    <cellStyle name="Normal 18 3 2 4 2" xfId="14842" xr:uid="{00000000-0005-0000-0000-0000FA390000}"/>
    <cellStyle name="Normal 18 3 2 4 2 2" xfId="14843" xr:uid="{00000000-0005-0000-0000-0000FB390000}"/>
    <cellStyle name="Normal 18 3 2 4 3" xfId="14844" xr:uid="{00000000-0005-0000-0000-0000FC390000}"/>
    <cellStyle name="Normal 18 3 2 5" xfId="14845" xr:uid="{00000000-0005-0000-0000-0000FD390000}"/>
    <cellStyle name="Normal 18 3 3" xfId="14846" xr:uid="{00000000-0005-0000-0000-0000FE390000}"/>
    <cellStyle name="Normal 18 3 3 2" xfId="14847" xr:uid="{00000000-0005-0000-0000-0000FF390000}"/>
    <cellStyle name="Normal 18 3 3 2 2" xfId="14848" xr:uid="{00000000-0005-0000-0000-0000003A0000}"/>
    <cellStyle name="Normal 18 3 3 3" xfId="14849" xr:uid="{00000000-0005-0000-0000-0000013A0000}"/>
    <cellStyle name="Normal 18 3 4" xfId="14850" xr:uid="{00000000-0005-0000-0000-0000023A0000}"/>
    <cellStyle name="Normal 18 3 4 2" xfId="14851" xr:uid="{00000000-0005-0000-0000-0000033A0000}"/>
    <cellStyle name="Normal 18 3 4 2 2" xfId="14852" xr:uid="{00000000-0005-0000-0000-0000043A0000}"/>
    <cellStyle name="Normal 18 3 4 3" xfId="14853" xr:uid="{00000000-0005-0000-0000-0000053A0000}"/>
    <cellStyle name="Normal 18 3 5" xfId="14854" xr:uid="{00000000-0005-0000-0000-0000063A0000}"/>
    <cellStyle name="Normal 18 3 5 2" xfId="14855" xr:uid="{00000000-0005-0000-0000-0000073A0000}"/>
    <cellStyle name="Normal 18 3 5 2 2" xfId="14856" xr:uid="{00000000-0005-0000-0000-0000083A0000}"/>
    <cellStyle name="Normal 18 3 5 3" xfId="14857" xr:uid="{00000000-0005-0000-0000-0000093A0000}"/>
    <cellStyle name="Normal 18 3 6" xfId="14858" xr:uid="{00000000-0005-0000-0000-00000A3A0000}"/>
    <cellStyle name="Normal 18 4" xfId="14859" xr:uid="{00000000-0005-0000-0000-00000B3A0000}"/>
    <cellStyle name="Normal 18 4 2" xfId="14860" xr:uid="{00000000-0005-0000-0000-00000C3A0000}"/>
    <cellStyle name="Normal 18 4 2 2" xfId="14861" xr:uid="{00000000-0005-0000-0000-00000D3A0000}"/>
    <cellStyle name="Normal 18 4 3" xfId="14862" xr:uid="{00000000-0005-0000-0000-00000E3A0000}"/>
    <cellStyle name="Normal 18 4 3 2" xfId="14863" xr:uid="{00000000-0005-0000-0000-00000F3A0000}"/>
    <cellStyle name="Normal 18 4 3 2 2" xfId="14864" xr:uid="{00000000-0005-0000-0000-0000103A0000}"/>
    <cellStyle name="Normal 18 4 3 3" xfId="14865" xr:uid="{00000000-0005-0000-0000-0000113A0000}"/>
    <cellStyle name="Normal 18 4 4" xfId="14866" xr:uid="{00000000-0005-0000-0000-0000123A0000}"/>
    <cellStyle name="Normal 18 4 4 2" xfId="14867" xr:uid="{00000000-0005-0000-0000-0000133A0000}"/>
    <cellStyle name="Normal 18 4 4 2 2" xfId="14868" xr:uid="{00000000-0005-0000-0000-0000143A0000}"/>
    <cellStyle name="Normal 18 4 4 3" xfId="14869" xr:uid="{00000000-0005-0000-0000-0000153A0000}"/>
    <cellStyle name="Normal 18 4 5" xfId="14870" xr:uid="{00000000-0005-0000-0000-0000163A0000}"/>
    <cellStyle name="Normal 18 5" xfId="14871" xr:uid="{00000000-0005-0000-0000-0000173A0000}"/>
    <cellStyle name="Normal 18 5 2" xfId="14872" xr:uid="{00000000-0005-0000-0000-0000183A0000}"/>
    <cellStyle name="Normal 18 5 2 2" xfId="14873" xr:uid="{00000000-0005-0000-0000-0000193A0000}"/>
    <cellStyle name="Normal 18 5 2 2 2" xfId="14874" xr:uid="{00000000-0005-0000-0000-00001A3A0000}"/>
    <cellStyle name="Normal 18 5 2 3" xfId="14875" xr:uid="{00000000-0005-0000-0000-00001B3A0000}"/>
    <cellStyle name="Normal 18 5 2 3 2" xfId="14876" xr:uid="{00000000-0005-0000-0000-00001C3A0000}"/>
    <cellStyle name="Normal 18 5 2 3 2 2" xfId="14877" xr:uid="{00000000-0005-0000-0000-00001D3A0000}"/>
    <cellStyle name="Normal 18 5 2 3 3" xfId="14878" xr:uid="{00000000-0005-0000-0000-00001E3A0000}"/>
    <cellStyle name="Normal 18 5 2 4" xfId="14879" xr:uid="{00000000-0005-0000-0000-00001F3A0000}"/>
    <cellStyle name="Normal 18 5 3" xfId="14880" xr:uid="{00000000-0005-0000-0000-0000203A0000}"/>
    <cellStyle name="Normal 18 5 3 2" xfId="14881" xr:uid="{00000000-0005-0000-0000-0000213A0000}"/>
    <cellStyle name="Normal 18 5 3 2 2" xfId="14882" xr:uid="{00000000-0005-0000-0000-0000223A0000}"/>
    <cellStyle name="Normal 18 5 3 3" xfId="14883" xr:uid="{00000000-0005-0000-0000-0000233A0000}"/>
    <cellStyle name="Normal 18 5 4" xfId="14884" xr:uid="{00000000-0005-0000-0000-0000243A0000}"/>
    <cellStyle name="Normal 18 5 4 2" xfId="14885" xr:uid="{00000000-0005-0000-0000-0000253A0000}"/>
    <cellStyle name="Normal 18 5 4 2 2" xfId="14886" xr:uid="{00000000-0005-0000-0000-0000263A0000}"/>
    <cellStyle name="Normal 18 5 4 3" xfId="14887" xr:uid="{00000000-0005-0000-0000-0000273A0000}"/>
    <cellStyle name="Normal 18 5 5" xfId="14888" xr:uid="{00000000-0005-0000-0000-0000283A0000}"/>
    <cellStyle name="Normal 18 5 5 2" xfId="14889" xr:uid="{00000000-0005-0000-0000-0000293A0000}"/>
    <cellStyle name="Normal 18 5 5 2 2" xfId="14890" xr:uid="{00000000-0005-0000-0000-00002A3A0000}"/>
    <cellStyle name="Normal 18 5 5 3" xfId="14891" xr:uid="{00000000-0005-0000-0000-00002B3A0000}"/>
    <cellStyle name="Normal 18 5 6" xfId="14892" xr:uid="{00000000-0005-0000-0000-00002C3A0000}"/>
    <cellStyle name="Normal 18 6" xfId="14893" xr:uid="{00000000-0005-0000-0000-00002D3A0000}"/>
    <cellStyle name="Normal 18 7" xfId="14894" xr:uid="{00000000-0005-0000-0000-00002E3A0000}"/>
    <cellStyle name="Normal 180" xfId="14895" xr:uid="{00000000-0005-0000-0000-00002F3A0000}"/>
    <cellStyle name="Normal 180 2" xfId="14896" xr:uid="{00000000-0005-0000-0000-0000303A0000}"/>
    <cellStyle name="Normal 180 2 2" xfId="14897" xr:uid="{00000000-0005-0000-0000-0000313A0000}"/>
    <cellStyle name="Normal 180 2 2 2" xfId="14898" xr:uid="{00000000-0005-0000-0000-0000323A0000}"/>
    <cellStyle name="Normal 180 2 3" xfId="14899" xr:uid="{00000000-0005-0000-0000-0000333A0000}"/>
    <cellStyle name="Normal 180 2 3 2" xfId="14900" xr:uid="{00000000-0005-0000-0000-0000343A0000}"/>
    <cellStyle name="Normal 180 2 3 2 2" xfId="14901" xr:uid="{00000000-0005-0000-0000-0000353A0000}"/>
    <cellStyle name="Normal 180 2 3 3" xfId="14902" xr:uid="{00000000-0005-0000-0000-0000363A0000}"/>
    <cellStyle name="Normal 180 2 4" xfId="14903" xr:uid="{00000000-0005-0000-0000-0000373A0000}"/>
    <cellStyle name="Normal 180 2 4 2" xfId="14904" xr:uid="{00000000-0005-0000-0000-0000383A0000}"/>
    <cellStyle name="Normal 180 2 4 2 2" xfId="14905" xr:uid="{00000000-0005-0000-0000-0000393A0000}"/>
    <cellStyle name="Normal 180 2 4 3" xfId="14906" xr:uid="{00000000-0005-0000-0000-00003A3A0000}"/>
    <cellStyle name="Normal 180 2 5" xfId="14907" xr:uid="{00000000-0005-0000-0000-00003B3A0000}"/>
    <cellStyle name="Normal 180 3" xfId="14908" xr:uid="{00000000-0005-0000-0000-00003C3A0000}"/>
    <cellStyle name="Normal 180 3 2" xfId="14909" xr:uid="{00000000-0005-0000-0000-00003D3A0000}"/>
    <cellStyle name="Normal 180 3 2 2" xfId="14910" xr:uid="{00000000-0005-0000-0000-00003E3A0000}"/>
    <cellStyle name="Normal 180 3 2 2 2" xfId="14911" xr:uid="{00000000-0005-0000-0000-00003F3A0000}"/>
    <cellStyle name="Normal 180 3 2 3" xfId="14912" xr:uid="{00000000-0005-0000-0000-0000403A0000}"/>
    <cellStyle name="Normal 180 3 2 3 2" xfId="14913" xr:uid="{00000000-0005-0000-0000-0000413A0000}"/>
    <cellStyle name="Normal 180 3 2 3 2 2" xfId="14914" xr:uid="{00000000-0005-0000-0000-0000423A0000}"/>
    <cellStyle name="Normal 180 3 2 3 3" xfId="14915" xr:uid="{00000000-0005-0000-0000-0000433A0000}"/>
    <cellStyle name="Normal 180 3 2 4" xfId="14916" xr:uid="{00000000-0005-0000-0000-0000443A0000}"/>
    <cellStyle name="Normal 180 3 3" xfId="14917" xr:uid="{00000000-0005-0000-0000-0000453A0000}"/>
    <cellStyle name="Normal 180 3 3 2" xfId="14918" xr:uid="{00000000-0005-0000-0000-0000463A0000}"/>
    <cellStyle name="Normal 180 3 3 2 2" xfId="14919" xr:uid="{00000000-0005-0000-0000-0000473A0000}"/>
    <cellStyle name="Normal 180 3 3 3" xfId="14920" xr:uid="{00000000-0005-0000-0000-0000483A0000}"/>
    <cellStyle name="Normal 180 3 4" xfId="14921" xr:uid="{00000000-0005-0000-0000-0000493A0000}"/>
    <cellStyle name="Normal 180 3 4 2" xfId="14922" xr:uid="{00000000-0005-0000-0000-00004A3A0000}"/>
    <cellStyle name="Normal 180 3 4 2 2" xfId="14923" xr:uid="{00000000-0005-0000-0000-00004B3A0000}"/>
    <cellStyle name="Normal 180 3 4 3" xfId="14924" xr:uid="{00000000-0005-0000-0000-00004C3A0000}"/>
    <cellStyle name="Normal 180 3 5" xfId="14925" xr:uid="{00000000-0005-0000-0000-00004D3A0000}"/>
    <cellStyle name="Normal 180 3 5 2" xfId="14926" xr:uid="{00000000-0005-0000-0000-00004E3A0000}"/>
    <cellStyle name="Normal 180 3 5 2 2" xfId="14927" xr:uid="{00000000-0005-0000-0000-00004F3A0000}"/>
    <cellStyle name="Normal 180 3 5 3" xfId="14928" xr:uid="{00000000-0005-0000-0000-0000503A0000}"/>
    <cellStyle name="Normal 180 3 6" xfId="14929" xr:uid="{00000000-0005-0000-0000-0000513A0000}"/>
    <cellStyle name="Normal 180 4" xfId="14930" xr:uid="{00000000-0005-0000-0000-0000523A0000}"/>
    <cellStyle name="Normal 180 4 2" xfId="14931" xr:uid="{00000000-0005-0000-0000-0000533A0000}"/>
    <cellStyle name="Normal 180 4 2 2" xfId="14932" xr:uid="{00000000-0005-0000-0000-0000543A0000}"/>
    <cellStyle name="Normal 180 4 3" xfId="14933" xr:uid="{00000000-0005-0000-0000-0000553A0000}"/>
    <cellStyle name="Normal 180 5" xfId="14934" xr:uid="{00000000-0005-0000-0000-0000563A0000}"/>
    <cellStyle name="Normal 180 5 2" xfId="14935" xr:uid="{00000000-0005-0000-0000-0000573A0000}"/>
    <cellStyle name="Normal 180 5 2 2" xfId="14936" xr:uid="{00000000-0005-0000-0000-0000583A0000}"/>
    <cellStyle name="Normal 180 5 3" xfId="14937" xr:uid="{00000000-0005-0000-0000-0000593A0000}"/>
    <cellStyle name="Normal 180 6" xfId="14938" xr:uid="{00000000-0005-0000-0000-00005A3A0000}"/>
    <cellStyle name="Normal 180 6 2" xfId="14939" xr:uid="{00000000-0005-0000-0000-00005B3A0000}"/>
    <cellStyle name="Normal 180 6 2 2" xfId="14940" xr:uid="{00000000-0005-0000-0000-00005C3A0000}"/>
    <cellStyle name="Normal 180 6 3" xfId="14941" xr:uid="{00000000-0005-0000-0000-00005D3A0000}"/>
    <cellStyle name="Normal 180 7" xfId="14942" xr:uid="{00000000-0005-0000-0000-00005E3A0000}"/>
    <cellStyle name="Normal 181" xfId="14943" xr:uid="{00000000-0005-0000-0000-00005F3A0000}"/>
    <cellStyle name="Normal 181 2" xfId="14944" xr:uid="{00000000-0005-0000-0000-0000603A0000}"/>
    <cellStyle name="Normal 181 2 2" xfId="14945" xr:uid="{00000000-0005-0000-0000-0000613A0000}"/>
    <cellStyle name="Normal 181 2 2 2" xfId="14946" xr:uid="{00000000-0005-0000-0000-0000623A0000}"/>
    <cellStyle name="Normal 181 2 3" xfId="14947" xr:uid="{00000000-0005-0000-0000-0000633A0000}"/>
    <cellStyle name="Normal 181 2 3 2" xfId="14948" xr:uid="{00000000-0005-0000-0000-0000643A0000}"/>
    <cellStyle name="Normal 181 2 3 2 2" xfId="14949" xr:uid="{00000000-0005-0000-0000-0000653A0000}"/>
    <cellStyle name="Normal 181 2 3 3" xfId="14950" xr:uid="{00000000-0005-0000-0000-0000663A0000}"/>
    <cellStyle name="Normal 181 2 4" xfId="14951" xr:uid="{00000000-0005-0000-0000-0000673A0000}"/>
    <cellStyle name="Normal 181 2 4 2" xfId="14952" xr:uid="{00000000-0005-0000-0000-0000683A0000}"/>
    <cellStyle name="Normal 181 2 4 2 2" xfId="14953" xr:uid="{00000000-0005-0000-0000-0000693A0000}"/>
    <cellStyle name="Normal 181 2 4 3" xfId="14954" xr:uid="{00000000-0005-0000-0000-00006A3A0000}"/>
    <cellStyle name="Normal 181 2 5" xfId="14955" xr:uid="{00000000-0005-0000-0000-00006B3A0000}"/>
    <cellStyle name="Normal 181 3" xfId="14956" xr:uid="{00000000-0005-0000-0000-00006C3A0000}"/>
    <cellStyle name="Normal 181 3 2" xfId="14957" xr:uid="{00000000-0005-0000-0000-00006D3A0000}"/>
    <cellStyle name="Normal 181 3 2 2" xfId="14958" xr:uid="{00000000-0005-0000-0000-00006E3A0000}"/>
    <cellStyle name="Normal 181 3 2 2 2" xfId="14959" xr:uid="{00000000-0005-0000-0000-00006F3A0000}"/>
    <cellStyle name="Normal 181 3 2 3" xfId="14960" xr:uid="{00000000-0005-0000-0000-0000703A0000}"/>
    <cellStyle name="Normal 181 3 2 3 2" xfId="14961" xr:uid="{00000000-0005-0000-0000-0000713A0000}"/>
    <cellStyle name="Normal 181 3 2 3 2 2" xfId="14962" xr:uid="{00000000-0005-0000-0000-0000723A0000}"/>
    <cellStyle name="Normal 181 3 2 3 3" xfId="14963" xr:uid="{00000000-0005-0000-0000-0000733A0000}"/>
    <cellStyle name="Normal 181 3 2 4" xfId="14964" xr:uid="{00000000-0005-0000-0000-0000743A0000}"/>
    <cellStyle name="Normal 181 3 3" xfId="14965" xr:uid="{00000000-0005-0000-0000-0000753A0000}"/>
    <cellStyle name="Normal 181 3 3 2" xfId="14966" xr:uid="{00000000-0005-0000-0000-0000763A0000}"/>
    <cellStyle name="Normal 181 3 3 2 2" xfId="14967" xr:uid="{00000000-0005-0000-0000-0000773A0000}"/>
    <cellStyle name="Normal 181 3 3 3" xfId="14968" xr:uid="{00000000-0005-0000-0000-0000783A0000}"/>
    <cellStyle name="Normal 181 3 4" xfId="14969" xr:uid="{00000000-0005-0000-0000-0000793A0000}"/>
    <cellStyle name="Normal 181 3 4 2" xfId="14970" xr:uid="{00000000-0005-0000-0000-00007A3A0000}"/>
    <cellStyle name="Normal 181 3 4 2 2" xfId="14971" xr:uid="{00000000-0005-0000-0000-00007B3A0000}"/>
    <cellStyle name="Normal 181 3 4 3" xfId="14972" xr:uid="{00000000-0005-0000-0000-00007C3A0000}"/>
    <cellStyle name="Normal 181 3 5" xfId="14973" xr:uid="{00000000-0005-0000-0000-00007D3A0000}"/>
    <cellStyle name="Normal 181 3 5 2" xfId="14974" xr:uid="{00000000-0005-0000-0000-00007E3A0000}"/>
    <cellStyle name="Normal 181 3 5 2 2" xfId="14975" xr:uid="{00000000-0005-0000-0000-00007F3A0000}"/>
    <cellStyle name="Normal 181 3 5 3" xfId="14976" xr:uid="{00000000-0005-0000-0000-0000803A0000}"/>
    <cellStyle name="Normal 181 3 6" xfId="14977" xr:uid="{00000000-0005-0000-0000-0000813A0000}"/>
    <cellStyle name="Normal 181 4" xfId="14978" xr:uid="{00000000-0005-0000-0000-0000823A0000}"/>
    <cellStyle name="Normal 181 4 2" xfId="14979" xr:uid="{00000000-0005-0000-0000-0000833A0000}"/>
    <cellStyle name="Normal 181 4 2 2" xfId="14980" xr:uid="{00000000-0005-0000-0000-0000843A0000}"/>
    <cellStyle name="Normal 181 4 3" xfId="14981" xr:uid="{00000000-0005-0000-0000-0000853A0000}"/>
    <cellStyle name="Normal 181 5" xfId="14982" xr:uid="{00000000-0005-0000-0000-0000863A0000}"/>
    <cellStyle name="Normal 181 5 2" xfId="14983" xr:uid="{00000000-0005-0000-0000-0000873A0000}"/>
    <cellStyle name="Normal 181 5 2 2" xfId="14984" xr:uid="{00000000-0005-0000-0000-0000883A0000}"/>
    <cellStyle name="Normal 181 5 3" xfId="14985" xr:uid="{00000000-0005-0000-0000-0000893A0000}"/>
    <cellStyle name="Normal 181 6" xfId="14986" xr:uid="{00000000-0005-0000-0000-00008A3A0000}"/>
    <cellStyle name="Normal 181 6 2" xfId="14987" xr:uid="{00000000-0005-0000-0000-00008B3A0000}"/>
    <cellStyle name="Normal 181 6 2 2" xfId="14988" xr:uid="{00000000-0005-0000-0000-00008C3A0000}"/>
    <cellStyle name="Normal 181 6 3" xfId="14989" xr:uid="{00000000-0005-0000-0000-00008D3A0000}"/>
    <cellStyle name="Normal 181 7" xfId="14990" xr:uid="{00000000-0005-0000-0000-00008E3A0000}"/>
    <cellStyle name="Normal 182" xfId="14991" xr:uid="{00000000-0005-0000-0000-00008F3A0000}"/>
    <cellStyle name="Normal 182 2" xfId="14992" xr:uid="{00000000-0005-0000-0000-0000903A0000}"/>
    <cellStyle name="Normal 182 2 2" xfId="14993" xr:uid="{00000000-0005-0000-0000-0000913A0000}"/>
    <cellStyle name="Normal 182 2 2 2" xfId="14994" xr:uid="{00000000-0005-0000-0000-0000923A0000}"/>
    <cellStyle name="Normal 182 2 3" xfId="14995" xr:uid="{00000000-0005-0000-0000-0000933A0000}"/>
    <cellStyle name="Normal 182 2 3 2" xfId="14996" xr:uid="{00000000-0005-0000-0000-0000943A0000}"/>
    <cellStyle name="Normal 182 2 3 2 2" xfId="14997" xr:uid="{00000000-0005-0000-0000-0000953A0000}"/>
    <cellStyle name="Normal 182 2 3 3" xfId="14998" xr:uid="{00000000-0005-0000-0000-0000963A0000}"/>
    <cellStyle name="Normal 182 2 4" xfId="14999" xr:uid="{00000000-0005-0000-0000-0000973A0000}"/>
    <cellStyle name="Normal 182 2 4 2" xfId="15000" xr:uid="{00000000-0005-0000-0000-0000983A0000}"/>
    <cellStyle name="Normal 182 2 4 2 2" xfId="15001" xr:uid="{00000000-0005-0000-0000-0000993A0000}"/>
    <cellStyle name="Normal 182 2 4 3" xfId="15002" xr:uid="{00000000-0005-0000-0000-00009A3A0000}"/>
    <cellStyle name="Normal 182 2 5" xfId="15003" xr:uid="{00000000-0005-0000-0000-00009B3A0000}"/>
    <cellStyle name="Normal 182 3" xfId="15004" xr:uid="{00000000-0005-0000-0000-00009C3A0000}"/>
    <cellStyle name="Normal 182 3 2" xfId="15005" xr:uid="{00000000-0005-0000-0000-00009D3A0000}"/>
    <cellStyle name="Normal 182 3 2 2" xfId="15006" xr:uid="{00000000-0005-0000-0000-00009E3A0000}"/>
    <cellStyle name="Normal 182 3 2 2 2" xfId="15007" xr:uid="{00000000-0005-0000-0000-00009F3A0000}"/>
    <cellStyle name="Normal 182 3 2 3" xfId="15008" xr:uid="{00000000-0005-0000-0000-0000A03A0000}"/>
    <cellStyle name="Normal 182 3 2 3 2" xfId="15009" xr:uid="{00000000-0005-0000-0000-0000A13A0000}"/>
    <cellStyle name="Normal 182 3 2 3 2 2" xfId="15010" xr:uid="{00000000-0005-0000-0000-0000A23A0000}"/>
    <cellStyle name="Normal 182 3 2 3 3" xfId="15011" xr:uid="{00000000-0005-0000-0000-0000A33A0000}"/>
    <cellStyle name="Normal 182 3 2 4" xfId="15012" xr:uid="{00000000-0005-0000-0000-0000A43A0000}"/>
    <cellStyle name="Normal 182 3 3" xfId="15013" xr:uid="{00000000-0005-0000-0000-0000A53A0000}"/>
    <cellStyle name="Normal 182 3 3 2" xfId="15014" xr:uid="{00000000-0005-0000-0000-0000A63A0000}"/>
    <cellStyle name="Normal 182 3 3 2 2" xfId="15015" xr:uid="{00000000-0005-0000-0000-0000A73A0000}"/>
    <cellStyle name="Normal 182 3 3 3" xfId="15016" xr:uid="{00000000-0005-0000-0000-0000A83A0000}"/>
    <cellStyle name="Normal 182 3 4" xfId="15017" xr:uid="{00000000-0005-0000-0000-0000A93A0000}"/>
    <cellStyle name="Normal 182 3 4 2" xfId="15018" xr:uid="{00000000-0005-0000-0000-0000AA3A0000}"/>
    <cellStyle name="Normal 182 3 4 2 2" xfId="15019" xr:uid="{00000000-0005-0000-0000-0000AB3A0000}"/>
    <cellStyle name="Normal 182 3 4 3" xfId="15020" xr:uid="{00000000-0005-0000-0000-0000AC3A0000}"/>
    <cellStyle name="Normal 182 3 5" xfId="15021" xr:uid="{00000000-0005-0000-0000-0000AD3A0000}"/>
    <cellStyle name="Normal 182 3 5 2" xfId="15022" xr:uid="{00000000-0005-0000-0000-0000AE3A0000}"/>
    <cellStyle name="Normal 182 3 5 2 2" xfId="15023" xr:uid="{00000000-0005-0000-0000-0000AF3A0000}"/>
    <cellStyle name="Normal 182 3 5 3" xfId="15024" xr:uid="{00000000-0005-0000-0000-0000B03A0000}"/>
    <cellStyle name="Normal 182 3 6" xfId="15025" xr:uid="{00000000-0005-0000-0000-0000B13A0000}"/>
    <cellStyle name="Normal 182 4" xfId="15026" xr:uid="{00000000-0005-0000-0000-0000B23A0000}"/>
    <cellStyle name="Normal 182 4 2" xfId="15027" xr:uid="{00000000-0005-0000-0000-0000B33A0000}"/>
    <cellStyle name="Normal 182 4 2 2" xfId="15028" xr:uid="{00000000-0005-0000-0000-0000B43A0000}"/>
    <cellStyle name="Normal 182 4 3" xfId="15029" xr:uid="{00000000-0005-0000-0000-0000B53A0000}"/>
    <cellStyle name="Normal 182 5" xfId="15030" xr:uid="{00000000-0005-0000-0000-0000B63A0000}"/>
    <cellStyle name="Normal 182 5 2" xfId="15031" xr:uid="{00000000-0005-0000-0000-0000B73A0000}"/>
    <cellStyle name="Normal 182 5 2 2" xfId="15032" xr:uid="{00000000-0005-0000-0000-0000B83A0000}"/>
    <cellStyle name="Normal 182 5 3" xfId="15033" xr:uid="{00000000-0005-0000-0000-0000B93A0000}"/>
    <cellStyle name="Normal 182 6" xfId="15034" xr:uid="{00000000-0005-0000-0000-0000BA3A0000}"/>
    <cellStyle name="Normal 182 6 2" xfId="15035" xr:uid="{00000000-0005-0000-0000-0000BB3A0000}"/>
    <cellStyle name="Normal 182 6 2 2" xfId="15036" xr:uid="{00000000-0005-0000-0000-0000BC3A0000}"/>
    <cellStyle name="Normal 182 6 3" xfId="15037" xr:uid="{00000000-0005-0000-0000-0000BD3A0000}"/>
    <cellStyle name="Normal 182 7" xfId="15038" xr:uid="{00000000-0005-0000-0000-0000BE3A0000}"/>
    <cellStyle name="Normal 183" xfId="15039" xr:uid="{00000000-0005-0000-0000-0000BF3A0000}"/>
    <cellStyle name="Normal 183 2" xfId="15040" xr:uid="{00000000-0005-0000-0000-0000C03A0000}"/>
    <cellStyle name="Normal 183 2 2" xfId="15041" xr:uid="{00000000-0005-0000-0000-0000C13A0000}"/>
    <cellStyle name="Normal 183 2 2 2" xfId="15042" xr:uid="{00000000-0005-0000-0000-0000C23A0000}"/>
    <cellStyle name="Normal 183 2 3" xfId="15043" xr:uid="{00000000-0005-0000-0000-0000C33A0000}"/>
    <cellStyle name="Normal 183 2 3 2" xfId="15044" xr:uid="{00000000-0005-0000-0000-0000C43A0000}"/>
    <cellStyle name="Normal 183 2 3 2 2" xfId="15045" xr:uid="{00000000-0005-0000-0000-0000C53A0000}"/>
    <cellStyle name="Normal 183 2 3 3" xfId="15046" xr:uid="{00000000-0005-0000-0000-0000C63A0000}"/>
    <cellStyle name="Normal 183 2 4" xfId="15047" xr:uid="{00000000-0005-0000-0000-0000C73A0000}"/>
    <cellStyle name="Normal 183 2 4 2" xfId="15048" xr:uid="{00000000-0005-0000-0000-0000C83A0000}"/>
    <cellStyle name="Normal 183 2 4 2 2" xfId="15049" xr:uid="{00000000-0005-0000-0000-0000C93A0000}"/>
    <cellStyle name="Normal 183 2 4 3" xfId="15050" xr:uid="{00000000-0005-0000-0000-0000CA3A0000}"/>
    <cellStyle name="Normal 183 2 5" xfId="15051" xr:uid="{00000000-0005-0000-0000-0000CB3A0000}"/>
    <cellStyle name="Normal 183 3" xfId="15052" xr:uid="{00000000-0005-0000-0000-0000CC3A0000}"/>
    <cellStyle name="Normal 183 3 2" xfId="15053" xr:uid="{00000000-0005-0000-0000-0000CD3A0000}"/>
    <cellStyle name="Normal 183 3 2 2" xfId="15054" xr:uid="{00000000-0005-0000-0000-0000CE3A0000}"/>
    <cellStyle name="Normal 183 3 2 2 2" xfId="15055" xr:uid="{00000000-0005-0000-0000-0000CF3A0000}"/>
    <cellStyle name="Normal 183 3 2 3" xfId="15056" xr:uid="{00000000-0005-0000-0000-0000D03A0000}"/>
    <cellStyle name="Normal 183 3 2 3 2" xfId="15057" xr:uid="{00000000-0005-0000-0000-0000D13A0000}"/>
    <cellStyle name="Normal 183 3 2 3 2 2" xfId="15058" xr:uid="{00000000-0005-0000-0000-0000D23A0000}"/>
    <cellStyle name="Normal 183 3 2 3 3" xfId="15059" xr:uid="{00000000-0005-0000-0000-0000D33A0000}"/>
    <cellStyle name="Normal 183 3 2 4" xfId="15060" xr:uid="{00000000-0005-0000-0000-0000D43A0000}"/>
    <cellStyle name="Normal 183 3 3" xfId="15061" xr:uid="{00000000-0005-0000-0000-0000D53A0000}"/>
    <cellStyle name="Normal 183 3 3 2" xfId="15062" xr:uid="{00000000-0005-0000-0000-0000D63A0000}"/>
    <cellStyle name="Normal 183 3 3 2 2" xfId="15063" xr:uid="{00000000-0005-0000-0000-0000D73A0000}"/>
    <cellStyle name="Normal 183 3 3 3" xfId="15064" xr:uid="{00000000-0005-0000-0000-0000D83A0000}"/>
    <cellStyle name="Normal 183 3 4" xfId="15065" xr:uid="{00000000-0005-0000-0000-0000D93A0000}"/>
    <cellStyle name="Normal 183 3 4 2" xfId="15066" xr:uid="{00000000-0005-0000-0000-0000DA3A0000}"/>
    <cellStyle name="Normal 183 3 4 2 2" xfId="15067" xr:uid="{00000000-0005-0000-0000-0000DB3A0000}"/>
    <cellStyle name="Normal 183 3 4 3" xfId="15068" xr:uid="{00000000-0005-0000-0000-0000DC3A0000}"/>
    <cellStyle name="Normal 183 3 5" xfId="15069" xr:uid="{00000000-0005-0000-0000-0000DD3A0000}"/>
    <cellStyle name="Normal 183 3 5 2" xfId="15070" xr:uid="{00000000-0005-0000-0000-0000DE3A0000}"/>
    <cellStyle name="Normal 183 3 5 2 2" xfId="15071" xr:uid="{00000000-0005-0000-0000-0000DF3A0000}"/>
    <cellStyle name="Normal 183 3 5 3" xfId="15072" xr:uid="{00000000-0005-0000-0000-0000E03A0000}"/>
    <cellStyle name="Normal 183 3 6" xfId="15073" xr:uid="{00000000-0005-0000-0000-0000E13A0000}"/>
    <cellStyle name="Normal 183 4" xfId="15074" xr:uid="{00000000-0005-0000-0000-0000E23A0000}"/>
    <cellStyle name="Normal 183 4 2" xfId="15075" xr:uid="{00000000-0005-0000-0000-0000E33A0000}"/>
    <cellStyle name="Normal 183 4 2 2" xfId="15076" xr:uid="{00000000-0005-0000-0000-0000E43A0000}"/>
    <cellStyle name="Normal 183 4 3" xfId="15077" xr:uid="{00000000-0005-0000-0000-0000E53A0000}"/>
    <cellStyle name="Normal 183 5" xfId="15078" xr:uid="{00000000-0005-0000-0000-0000E63A0000}"/>
    <cellStyle name="Normal 183 5 2" xfId="15079" xr:uid="{00000000-0005-0000-0000-0000E73A0000}"/>
    <cellStyle name="Normal 183 5 2 2" xfId="15080" xr:uid="{00000000-0005-0000-0000-0000E83A0000}"/>
    <cellStyle name="Normal 183 5 3" xfId="15081" xr:uid="{00000000-0005-0000-0000-0000E93A0000}"/>
    <cellStyle name="Normal 183 6" xfId="15082" xr:uid="{00000000-0005-0000-0000-0000EA3A0000}"/>
    <cellStyle name="Normal 183 6 2" xfId="15083" xr:uid="{00000000-0005-0000-0000-0000EB3A0000}"/>
    <cellStyle name="Normal 183 6 2 2" xfId="15084" xr:uid="{00000000-0005-0000-0000-0000EC3A0000}"/>
    <cellStyle name="Normal 183 6 3" xfId="15085" xr:uid="{00000000-0005-0000-0000-0000ED3A0000}"/>
    <cellStyle name="Normal 183 7" xfId="15086" xr:uid="{00000000-0005-0000-0000-0000EE3A0000}"/>
    <cellStyle name="Normal 184" xfId="15087" xr:uid="{00000000-0005-0000-0000-0000EF3A0000}"/>
    <cellStyle name="Normal 184 2" xfId="15088" xr:uid="{00000000-0005-0000-0000-0000F03A0000}"/>
    <cellStyle name="Normal 184 2 2" xfId="15089" xr:uid="{00000000-0005-0000-0000-0000F13A0000}"/>
    <cellStyle name="Normal 184 2 2 2" xfId="15090" xr:uid="{00000000-0005-0000-0000-0000F23A0000}"/>
    <cellStyle name="Normal 184 2 3" xfId="15091" xr:uid="{00000000-0005-0000-0000-0000F33A0000}"/>
    <cellStyle name="Normal 184 2 3 2" xfId="15092" xr:uid="{00000000-0005-0000-0000-0000F43A0000}"/>
    <cellStyle name="Normal 184 2 3 2 2" xfId="15093" xr:uid="{00000000-0005-0000-0000-0000F53A0000}"/>
    <cellStyle name="Normal 184 2 3 3" xfId="15094" xr:uid="{00000000-0005-0000-0000-0000F63A0000}"/>
    <cellStyle name="Normal 184 2 4" xfId="15095" xr:uid="{00000000-0005-0000-0000-0000F73A0000}"/>
    <cellStyle name="Normal 184 2 4 2" xfId="15096" xr:uid="{00000000-0005-0000-0000-0000F83A0000}"/>
    <cellStyle name="Normal 184 2 4 2 2" xfId="15097" xr:uid="{00000000-0005-0000-0000-0000F93A0000}"/>
    <cellStyle name="Normal 184 2 4 3" xfId="15098" xr:uid="{00000000-0005-0000-0000-0000FA3A0000}"/>
    <cellStyle name="Normal 184 2 5" xfId="15099" xr:uid="{00000000-0005-0000-0000-0000FB3A0000}"/>
    <cellStyle name="Normal 184 3" xfId="15100" xr:uid="{00000000-0005-0000-0000-0000FC3A0000}"/>
    <cellStyle name="Normal 184 3 2" xfId="15101" xr:uid="{00000000-0005-0000-0000-0000FD3A0000}"/>
    <cellStyle name="Normal 184 3 2 2" xfId="15102" xr:uid="{00000000-0005-0000-0000-0000FE3A0000}"/>
    <cellStyle name="Normal 184 3 2 2 2" xfId="15103" xr:uid="{00000000-0005-0000-0000-0000FF3A0000}"/>
    <cellStyle name="Normal 184 3 2 3" xfId="15104" xr:uid="{00000000-0005-0000-0000-0000003B0000}"/>
    <cellStyle name="Normal 184 3 2 3 2" xfId="15105" xr:uid="{00000000-0005-0000-0000-0000013B0000}"/>
    <cellStyle name="Normal 184 3 2 3 2 2" xfId="15106" xr:uid="{00000000-0005-0000-0000-0000023B0000}"/>
    <cellStyle name="Normal 184 3 2 3 3" xfId="15107" xr:uid="{00000000-0005-0000-0000-0000033B0000}"/>
    <cellStyle name="Normal 184 3 2 4" xfId="15108" xr:uid="{00000000-0005-0000-0000-0000043B0000}"/>
    <cellStyle name="Normal 184 3 3" xfId="15109" xr:uid="{00000000-0005-0000-0000-0000053B0000}"/>
    <cellStyle name="Normal 184 3 3 2" xfId="15110" xr:uid="{00000000-0005-0000-0000-0000063B0000}"/>
    <cellStyle name="Normal 184 3 3 2 2" xfId="15111" xr:uid="{00000000-0005-0000-0000-0000073B0000}"/>
    <cellStyle name="Normal 184 3 3 3" xfId="15112" xr:uid="{00000000-0005-0000-0000-0000083B0000}"/>
    <cellStyle name="Normal 184 3 4" xfId="15113" xr:uid="{00000000-0005-0000-0000-0000093B0000}"/>
    <cellStyle name="Normal 184 3 4 2" xfId="15114" xr:uid="{00000000-0005-0000-0000-00000A3B0000}"/>
    <cellStyle name="Normal 184 3 4 2 2" xfId="15115" xr:uid="{00000000-0005-0000-0000-00000B3B0000}"/>
    <cellStyle name="Normal 184 3 4 3" xfId="15116" xr:uid="{00000000-0005-0000-0000-00000C3B0000}"/>
    <cellStyle name="Normal 184 3 5" xfId="15117" xr:uid="{00000000-0005-0000-0000-00000D3B0000}"/>
    <cellStyle name="Normal 184 3 5 2" xfId="15118" xr:uid="{00000000-0005-0000-0000-00000E3B0000}"/>
    <cellStyle name="Normal 184 3 5 2 2" xfId="15119" xr:uid="{00000000-0005-0000-0000-00000F3B0000}"/>
    <cellStyle name="Normal 184 3 5 3" xfId="15120" xr:uid="{00000000-0005-0000-0000-0000103B0000}"/>
    <cellStyle name="Normal 184 3 6" xfId="15121" xr:uid="{00000000-0005-0000-0000-0000113B0000}"/>
    <cellStyle name="Normal 184 4" xfId="15122" xr:uid="{00000000-0005-0000-0000-0000123B0000}"/>
    <cellStyle name="Normal 184 4 2" xfId="15123" xr:uid="{00000000-0005-0000-0000-0000133B0000}"/>
    <cellStyle name="Normal 184 4 2 2" xfId="15124" xr:uid="{00000000-0005-0000-0000-0000143B0000}"/>
    <cellStyle name="Normal 184 4 3" xfId="15125" xr:uid="{00000000-0005-0000-0000-0000153B0000}"/>
    <cellStyle name="Normal 184 5" xfId="15126" xr:uid="{00000000-0005-0000-0000-0000163B0000}"/>
    <cellStyle name="Normal 184 5 2" xfId="15127" xr:uid="{00000000-0005-0000-0000-0000173B0000}"/>
    <cellStyle name="Normal 184 5 2 2" xfId="15128" xr:uid="{00000000-0005-0000-0000-0000183B0000}"/>
    <cellStyle name="Normal 184 5 3" xfId="15129" xr:uid="{00000000-0005-0000-0000-0000193B0000}"/>
    <cellStyle name="Normal 184 6" xfId="15130" xr:uid="{00000000-0005-0000-0000-00001A3B0000}"/>
    <cellStyle name="Normal 184 6 2" xfId="15131" xr:uid="{00000000-0005-0000-0000-00001B3B0000}"/>
    <cellStyle name="Normal 184 6 2 2" xfId="15132" xr:uid="{00000000-0005-0000-0000-00001C3B0000}"/>
    <cellStyle name="Normal 184 6 3" xfId="15133" xr:uid="{00000000-0005-0000-0000-00001D3B0000}"/>
    <cellStyle name="Normal 184 7" xfId="15134" xr:uid="{00000000-0005-0000-0000-00001E3B0000}"/>
    <cellStyle name="Normal 185" xfId="15135" xr:uid="{00000000-0005-0000-0000-00001F3B0000}"/>
    <cellStyle name="Normal 185 2" xfId="15136" xr:uid="{00000000-0005-0000-0000-0000203B0000}"/>
    <cellStyle name="Normal 185 2 2" xfId="15137" xr:uid="{00000000-0005-0000-0000-0000213B0000}"/>
    <cellStyle name="Normal 185 2 2 2" xfId="15138" xr:uid="{00000000-0005-0000-0000-0000223B0000}"/>
    <cellStyle name="Normal 185 2 3" xfId="15139" xr:uid="{00000000-0005-0000-0000-0000233B0000}"/>
    <cellStyle name="Normal 185 2 3 2" xfId="15140" xr:uid="{00000000-0005-0000-0000-0000243B0000}"/>
    <cellStyle name="Normal 185 2 3 2 2" xfId="15141" xr:uid="{00000000-0005-0000-0000-0000253B0000}"/>
    <cellStyle name="Normal 185 2 3 3" xfId="15142" xr:uid="{00000000-0005-0000-0000-0000263B0000}"/>
    <cellStyle name="Normal 185 2 4" xfId="15143" xr:uid="{00000000-0005-0000-0000-0000273B0000}"/>
    <cellStyle name="Normal 185 2 4 2" xfId="15144" xr:uid="{00000000-0005-0000-0000-0000283B0000}"/>
    <cellStyle name="Normal 185 2 4 2 2" xfId="15145" xr:uid="{00000000-0005-0000-0000-0000293B0000}"/>
    <cellStyle name="Normal 185 2 4 3" xfId="15146" xr:uid="{00000000-0005-0000-0000-00002A3B0000}"/>
    <cellStyle name="Normal 185 2 5" xfId="15147" xr:uid="{00000000-0005-0000-0000-00002B3B0000}"/>
    <cellStyle name="Normal 185 3" xfId="15148" xr:uid="{00000000-0005-0000-0000-00002C3B0000}"/>
    <cellStyle name="Normal 185 3 2" xfId="15149" xr:uid="{00000000-0005-0000-0000-00002D3B0000}"/>
    <cellStyle name="Normal 185 3 2 2" xfId="15150" xr:uid="{00000000-0005-0000-0000-00002E3B0000}"/>
    <cellStyle name="Normal 185 3 2 2 2" xfId="15151" xr:uid="{00000000-0005-0000-0000-00002F3B0000}"/>
    <cellStyle name="Normal 185 3 2 3" xfId="15152" xr:uid="{00000000-0005-0000-0000-0000303B0000}"/>
    <cellStyle name="Normal 185 3 2 3 2" xfId="15153" xr:uid="{00000000-0005-0000-0000-0000313B0000}"/>
    <cellStyle name="Normal 185 3 2 3 2 2" xfId="15154" xr:uid="{00000000-0005-0000-0000-0000323B0000}"/>
    <cellStyle name="Normal 185 3 2 3 3" xfId="15155" xr:uid="{00000000-0005-0000-0000-0000333B0000}"/>
    <cellStyle name="Normal 185 3 2 4" xfId="15156" xr:uid="{00000000-0005-0000-0000-0000343B0000}"/>
    <cellStyle name="Normal 185 3 3" xfId="15157" xr:uid="{00000000-0005-0000-0000-0000353B0000}"/>
    <cellStyle name="Normal 185 3 3 2" xfId="15158" xr:uid="{00000000-0005-0000-0000-0000363B0000}"/>
    <cellStyle name="Normal 185 3 3 2 2" xfId="15159" xr:uid="{00000000-0005-0000-0000-0000373B0000}"/>
    <cellStyle name="Normal 185 3 3 3" xfId="15160" xr:uid="{00000000-0005-0000-0000-0000383B0000}"/>
    <cellStyle name="Normal 185 3 4" xfId="15161" xr:uid="{00000000-0005-0000-0000-0000393B0000}"/>
    <cellStyle name="Normal 185 3 4 2" xfId="15162" xr:uid="{00000000-0005-0000-0000-00003A3B0000}"/>
    <cellStyle name="Normal 185 3 4 2 2" xfId="15163" xr:uid="{00000000-0005-0000-0000-00003B3B0000}"/>
    <cellStyle name="Normal 185 3 4 3" xfId="15164" xr:uid="{00000000-0005-0000-0000-00003C3B0000}"/>
    <cellStyle name="Normal 185 3 5" xfId="15165" xr:uid="{00000000-0005-0000-0000-00003D3B0000}"/>
    <cellStyle name="Normal 185 3 5 2" xfId="15166" xr:uid="{00000000-0005-0000-0000-00003E3B0000}"/>
    <cellStyle name="Normal 185 3 5 2 2" xfId="15167" xr:uid="{00000000-0005-0000-0000-00003F3B0000}"/>
    <cellStyle name="Normal 185 3 5 3" xfId="15168" xr:uid="{00000000-0005-0000-0000-0000403B0000}"/>
    <cellStyle name="Normal 185 3 6" xfId="15169" xr:uid="{00000000-0005-0000-0000-0000413B0000}"/>
    <cellStyle name="Normal 185 4" xfId="15170" xr:uid="{00000000-0005-0000-0000-0000423B0000}"/>
    <cellStyle name="Normal 185 4 2" xfId="15171" xr:uid="{00000000-0005-0000-0000-0000433B0000}"/>
    <cellStyle name="Normal 185 4 2 2" xfId="15172" xr:uid="{00000000-0005-0000-0000-0000443B0000}"/>
    <cellStyle name="Normal 185 4 3" xfId="15173" xr:uid="{00000000-0005-0000-0000-0000453B0000}"/>
    <cellStyle name="Normal 185 5" xfId="15174" xr:uid="{00000000-0005-0000-0000-0000463B0000}"/>
    <cellStyle name="Normal 185 5 2" xfId="15175" xr:uid="{00000000-0005-0000-0000-0000473B0000}"/>
    <cellStyle name="Normal 185 5 2 2" xfId="15176" xr:uid="{00000000-0005-0000-0000-0000483B0000}"/>
    <cellStyle name="Normal 185 5 3" xfId="15177" xr:uid="{00000000-0005-0000-0000-0000493B0000}"/>
    <cellStyle name="Normal 185 6" xfId="15178" xr:uid="{00000000-0005-0000-0000-00004A3B0000}"/>
    <cellStyle name="Normal 185 6 2" xfId="15179" xr:uid="{00000000-0005-0000-0000-00004B3B0000}"/>
    <cellStyle name="Normal 185 6 2 2" xfId="15180" xr:uid="{00000000-0005-0000-0000-00004C3B0000}"/>
    <cellStyle name="Normal 185 6 3" xfId="15181" xr:uid="{00000000-0005-0000-0000-00004D3B0000}"/>
    <cellStyle name="Normal 185 7" xfId="15182" xr:uid="{00000000-0005-0000-0000-00004E3B0000}"/>
    <cellStyle name="Normal 186" xfId="15183" xr:uid="{00000000-0005-0000-0000-00004F3B0000}"/>
    <cellStyle name="Normal 186 2" xfId="15184" xr:uid="{00000000-0005-0000-0000-0000503B0000}"/>
    <cellStyle name="Normal 186 2 2" xfId="15185" xr:uid="{00000000-0005-0000-0000-0000513B0000}"/>
    <cellStyle name="Normal 186 2 2 2" xfId="15186" xr:uid="{00000000-0005-0000-0000-0000523B0000}"/>
    <cellStyle name="Normal 186 2 3" xfId="15187" xr:uid="{00000000-0005-0000-0000-0000533B0000}"/>
    <cellStyle name="Normal 186 2 3 2" xfId="15188" xr:uid="{00000000-0005-0000-0000-0000543B0000}"/>
    <cellStyle name="Normal 186 2 3 2 2" xfId="15189" xr:uid="{00000000-0005-0000-0000-0000553B0000}"/>
    <cellStyle name="Normal 186 2 3 3" xfId="15190" xr:uid="{00000000-0005-0000-0000-0000563B0000}"/>
    <cellStyle name="Normal 186 2 4" xfId="15191" xr:uid="{00000000-0005-0000-0000-0000573B0000}"/>
    <cellStyle name="Normal 186 2 4 2" xfId="15192" xr:uid="{00000000-0005-0000-0000-0000583B0000}"/>
    <cellStyle name="Normal 186 2 4 2 2" xfId="15193" xr:uid="{00000000-0005-0000-0000-0000593B0000}"/>
    <cellStyle name="Normal 186 2 4 3" xfId="15194" xr:uid="{00000000-0005-0000-0000-00005A3B0000}"/>
    <cellStyle name="Normal 186 2 5" xfId="15195" xr:uid="{00000000-0005-0000-0000-00005B3B0000}"/>
    <cellStyle name="Normal 186 3" xfId="15196" xr:uid="{00000000-0005-0000-0000-00005C3B0000}"/>
    <cellStyle name="Normal 186 3 2" xfId="15197" xr:uid="{00000000-0005-0000-0000-00005D3B0000}"/>
    <cellStyle name="Normal 186 3 2 2" xfId="15198" xr:uid="{00000000-0005-0000-0000-00005E3B0000}"/>
    <cellStyle name="Normal 186 3 2 2 2" xfId="15199" xr:uid="{00000000-0005-0000-0000-00005F3B0000}"/>
    <cellStyle name="Normal 186 3 2 3" xfId="15200" xr:uid="{00000000-0005-0000-0000-0000603B0000}"/>
    <cellStyle name="Normal 186 3 2 3 2" xfId="15201" xr:uid="{00000000-0005-0000-0000-0000613B0000}"/>
    <cellStyle name="Normal 186 3 2 3 2 2" xfId="15202" xr:uid="{00000000-0005-0000-0000-0000623B0000}"/>
    <cellStyle name="Normal 186 3 2 3 3" xfId="15203" xr:uid="{00000000-0005-0000-0000-0000633B0000}"/>
    <cellStyle name="Normal 186 3 2 4" xfId="15204" xr:uid="{00000000-0005-0000-0000-0000643B0000}"/>
    <cellStyle name="Normal 186 3 3" xfId="15205" xr:uid="{00000000-0005-0000-0000-0000653B0000}"/>
    <cellStyle name="Normal 186 3 3 2" xfId="15206" xr:uid="{00000000-0005-0000-0000-0000663B0000}"/>
    <cellStyle name="Normal 186 3 3 2 2" xfId="15207" xr:uid="{00000000-0005-0000-0000-0000673B0000}"/>
    <cellStyle name="Normal 186 3 3 3" xfId="15208" xr:uid="{00000000-0005-0000-0000-0000683B0000}"/>
    <cellStyle name="Normal 186 3 4" xfId="15209" xr:uid="{00000000-0005-0000-0000-0000693B0000}"/>
    <cellStyle name="Normal 186 3 4 2" xfId="15210" xr:uid="{00000000-0005-0000-0000-00006A3B0000}"/>
    <cellStyle name="Normal 186 3 4 2 2" xfId="15211" xr:uid="{00000000-0005-0000-0000-00006B3B0000}"/>
    <cellStyle name="Normal 186 3 4 3" xfId="15212" xr:uid="{00000000-0005-0000-0000-00006C3B0000}"/>
    <cellStyle name="Normal 186 3 5" xfId="15213" xr:uid="{00000000-0005-0000-0000-00006D3B0000}"/>
    <cellStyle name="Normal 186 3 5 2" xfId="15214" xr:uid="{00000000-0005-0000-0000-00006E3B0000}"/>
    <cellStyle name="Normal 186 3 5 2 2" xfId="15215" xr:uid="{00000000-0005-0000-0000-00006F3B0000}"/>
    <cellStyle name="Normal 186 3 5 3" xfId="15216" xr:uid="{00000000-0005-0000-0000-0000703B0000}"/>
    <cellStyle name="Normal 186 3 6" xfId="15217" xr:uid="{00000000-0005-0000-0000-0000713B0000}"/>
    <cellStyle name="Normal 186 4" xfId="15218" xr:uid="{00000000-0005-0000-0000-0000723B0000}"/>
    <cellStyle name="Normal 186 4 2" xfId="15219" xr:uid="{00000000-0005-0000-0000-0000733B0000}"/>
    <cellStyle name="Normal 186 4 2 2" xfId="15220" xr:uid="{00000000-0005-0000-0000-0000743B0000}"/>
    <cellStyle name="Normal 186 4 3" xfId="15221" xr:uid="{00000000-0005-0000-0000-0000753B0000}"/>
    <cellStyle name="Normal 186 5" xfId="15222" xr:uid="{00000000-0005-0000-0000-0000763B0000}"/>
    <cellStyle name="Normal 186 5 2" xfId="15223" xr:uid="{00000000-0005-0000-0000-0000773B0000}"/>
    <cellStyle name="Normal 186 5 2 2" xfId="15224" xr:uid="{00000000-0005-0000-0000-0000783B0000}"/>
    <cellStyle name="Normal 186 5 3" xfId="15225" xr:uid="{00000000-0005-0000-0000-0000793B0000}"/>
    <cellStyle name="Normal 186 6" xfId="15226" xr:uid="{00000000-0005-0000-0000-00007A3B0000}"/>
    <cellStyle name="Normal 186 6 2" xfId="15227" xr:uid="{00000000-0005-0000-0000-00007B3B0000}"/>
    <cellStyle name="Normal 186 6 2 2" xfId="15228" xr:uid="{00000000-0005-0000-0000-00007C3B0000}"/>
    <cellStyle name="Normal 186 6 3" xfId="15229" xr:uid="{00000000-0005-0000-0000-00007D3B0000}"/>
    <cellStyle name="Normal 186 7" xfId="15230" xr:uid="{00000000-0005-0000-0000-00007E3B0000}"/>
    <cellStyle name="Normal 187" xfId="15231" xr:uid="{00000000-0005-0000-0000-00007F3B0000}"/>
    <cellStyle name="Normal 187 2" xfId="15232" xr:uid="{00000000-0005-0000-0000-0000803B0000}"/>
    <cellStyle name="Normal 187 2 2" xfId="15233" xr:uid="{00000000-0005-0000-0000-0000813B0000}"/>
    <cellStyle name="Normal 187 2 2 2" xfId="15234" xr:uid="{00000000-0005-0000-0000-0000823B0000}"/>
    <cellStyle name="Normal 187 2 3" xfId="15235" xr:uid="{00000000-0005-0000-0000-0000833B0000}"/>
    <cellStyle name="Normal 187 2 3 2" xfId="15236" xr:uid="{00000000-0005-0000-0000-0000843B0000}"/>
    <cellStyle name="Normal 187 2 3 2 2" xfId="15237" xr:uid="{00000000-0005-0000-0000-0000853B0000}"/>
    <cellStyle name="Normal 187 2 3 3" xfId="15238" xr:uid="{00000000-0005-0000-0000-0000863B0000}"/>
    <cellStyle name="Normal 187 2 4" xfId="15239" xr:uid="{00000000-0005-0000-0000-0000873B0000}"/>
    <cellStyle name="Normal 187 2 4 2" xfId="15240" xr:uid="{00000000-0005-0000-0000-0000883B0000}"/>
    <cellStyle name="Normal 187 2 4 2 2" xfId="15241" xr:uid="{00000000-0005-0000-0000-0000893B0000}"/>
    <cellStyle name="Normal 187 2 4 3" xfId="15242" xr:uid="{00000000-0005-0000-0000-00008A3B0000}"/>
    <cellStyle name="Normal 187 2 5" xfId="15243" xr:uid="{00000000-0005-0000-0000-00008B3B0000}"/>
    <cellStyle name="Normal 187 3" xfId="15244" xr:uid="{00000000-0005-0000-0000-00008C3B0000}"/>
    <cellStyle name="Normal 187 3 2" xfId="15245" xr:uid="{00000000-0005-0000-0000-00008D3B0000}"/>
    <cellStyle name="Normal 187 3 2 2" xfId="15246" xr:uid="{00000000-0005-0000-0000-00008E3B0000}"/>
    <cellStyle name="Normal 187 3 2 2 2" xfId="15247" xr:uid="{00000000-0005-0000-0000-00008F3B0000}"/>
    <cellStyle name="Normal 187 3 2 3" xfId="15248" xr:uid="{00000000-0005-0000-0000-0000903B0000}"/>
    <cellStyle name="Normal 187 3 2 3 2" xfId="15249" xr:uid="{00000000-0005-0000-0000-0000913B0000}"/>
    <cellStyle name="Normal 187 3 2 3 2 2" xfId="15250" xr:uid="{00000000-0005-0000-0000-0000923B0000}"/>
    <cellStyle name="Normal 187 3 2 3 3" xfId="15251" xr:uid="{00000000-0005-0000-0000-0000933B0000}"/>
    <cellStyle name="Normal 187 3 2 4" xfId="15252" xr:uid="{00000000-0005-0000-0000-0000943B0000}"/>
    <cellStyle name="Normal 187 3 3" xfId="15253" xr:uid="{00000000-0005-0000-0000-0000953B0000}"/>
    <cellStyle name="Normal 187 3 3 2" xfId="15254" xr:uid="{00000000-0005-0000-0000-0000963B0000}"/>
    <cellStyle name="Normal 187 3 3 2 2" xfId="15255" xr:uid="{00000000-0005-0000-0000-0000973B0000}"/>
    <cellStyle name="Normal 187 3 3 3" xfId="15256" xr:uid="{00000000-0005-0000-0000-0000983B0000}"/>
    <cellStyle name="Normal 187 3 4" xfId="15257" xr:uid="{00000000-0005-0000-0000-0000993B0000}"/>
    <cellStyle name="Normal 187 3 4 2" xfId="15258" xr:uid="{00000000-0005-0000-0000-00009A3B0000}"/>
    <cellStyle name="Normal 187 3 4 2 2" xfId="15259" xr:uid="{00000000-0005-0000-0000-00009B3B0000}"/>
    <cellStyle name="Normal 187 3 4 3" xfId="15260" xr:uid="{00000000-0005-0000-0000-00009C3B0000}"/>
    <cellStyle name="Normal 187 3 5" xfId="15261" xr:uid="{00000000-0005-0000-0000-00009D3B0000}"/>
    <cellStyle name="Normal 187 3 5 2" xfId="15262" xr:uid="{00000000-0005-0000-0000-00009E3B0000}"/>
    <cellStyle name="Normal 187 3 5 2 2" xfId="15263" xr:uid="{00000000-0005-0000-0000-00009F3B0000}"/>
    <cellStyle name="Normal 187 3 5 3" xfId="15264" xr:uid="{00000000-0005-0000-0000-0000A03B0000}"/>
    <cellStyle name="Normal 187 3 6" xfId="15265" xr:uid="{00000000-0005-0000-0000-0000A13B0000}"/>
    <cellStyle name="Normal 187 4" xfId="15266" xr:uid="{00000000-0005-0000-0000-0000A23B0000}"/>
    <cellStyle name="Normal 187 4 2" xfId="15267" xr:uid="{00000000-0005-0000-0000-0000A33B0000}"/>
    <cellStyle name="Normal 187 4 2 2" xfId="15268" xr:uid="{00000000-0005-0000-0000-0000A43B0000}"/>
    <cellStyle name="Normal 187 4 3" xfId="15269" xr:uid="{00000000-0005-0000-0000-0000A53B0000}"/>
    <cellStyle name="Normal 187 5" xfId="15270" xr:uid="{00000000-0005-0000-0000-0000A63B0000}"/>
    <cellStyle name="Normal 187 5 2" xfId="15271" xr:uid="{00000000-0005-0000-0000-0000A73B0000}"/>
    <cellStyle name="Normal 187 5 2 2" xfId="15272" xr:uid="{00000000-0005-0000-0000-0000A83B0000}"/>
    <cellStyle name="Normal 187 5 3" xfId="15273" xr:uid="{00000000-0005-0000-0000-0000A93B0000}"/>
    <cellStyle name="Normal 187 6" xfId="15274" xr:uid="{00000000-0005-0000-0000-0000AA3B0000}"/>
    <cellStyle name="Normal 187 6 2" xfId="15275" xr:uid="{00000000-0005-0000-0000-0000AB3B0000}"/>
    <cellStyle name="Normal 187 6 2 2" xfId="15276" xr:uid="{00000000-0005-0000-0000-0000AC3B0000}"/>
    <cellStyle name="Normal 187 6 3" xfId="15277" xr:uid="{00000000-0005-0000-0000-0000AD3B0000}"/>
    <cellStyle name="Normal 187 7" xfId="15278" xr:uid="{00000000-0005-0000-0000-0000AE3B0000}"/>
    <cellStyle name="Normal 188" xfId="15279" xr:uid="{00000000-0005-0000-0000-0000AF3B0000}"/>
    <cellStyle name="Normal 188 2" xfId="15280" xr:uid="{00000000-0005-0000-0000-0000B03B0000}"/>
    <cellStyle name="Normal 188 2 2" xfId="15281" xr:uid="{00000000-0005-0000-0000-0000B13B0000}"/>
    <cellStyle name="Normal 188 2 2 2" xfId="15282" xr:uid="{00000000-0005-0000-0000-0000B23B0000}"/>
    <cellStyle name="Normal 188 2 3" xfId="15283" xr:uid="{00000000-0005-0000-0000-0000B33B0000}"/>
    <cellStyle name="Normal 188 2 3 2" xfId="15284" xr:uid="{00000000-0005-0000-0000-0000B43B0000}"/>
    <cellStyle name="Normal 188 2 3 2 2" xfId="15285" xr:uid="{00000000-0005-0000-0000-0000B53B0000}"/>
    <cellStyle name="Normal 188 2 3 3" xfId="15286" xr:uid="{00000000-0005-0000-0000-0000B63B0000}"/>
    <cellStyle name="Normal 188 2 4" xfId="15287" xr:uid="{00000000-0005-0000-0000-0000B73B0000}"/>
    <cellStyle name="Normal 188 2 4 2" xfId="15288" xr:uid="{00000000-0005-0000-0000-0000B83B0000}"/>
    <cellStyle name="Normal 188 2 4 2 2" xfId="15289" xr:uid="{00000000-0005-0000-0000-0000B93B0000}"/>
    <cellStyle name="Normal 188 2 4 3" xfId="15290" xr:uid="{00000000-0005-0000-0000-0000BA3B0000}"/>
    <cellStyle name="Normal 188 2 5" xfId="15291" xr:uid="{00000000-0005-0000-0000-0000BB3B0000}"/>
    <cellStyle name="Normal 188 3" xfId="15292" xr:uid="{00000000-0005-0000-0000-0000BC3B0000}"/>
    <cellStyle name="Normal 188 3 2" xfId="15293" xr:uid="{00000000-0005-0000-0000-0000BD3B0000}"/>
    <cellStyle name="Normal 188 3 2 2" xfId="15294" xr:uid="{00000000-0005-0000-0000-0000BE3B0000}"/>
    <cellStyle name="Normal 188 3 2 2 2" xfId="15295" xr:uid="{00000000-0005-0000-0000-0000BF3B0000}"/>
    <cellStyle name="Normal 188 3 2 3" xfId="15296" xr:uid="{00000000-0005-0000-0000-0000C03B0000}"/>
    <cellStyle name="Normal 188 3 2 3 2" xfId="15297" xr:uid="{00000000-0005-0000-0000-0000C13B0000}"/>
    <cellStyle name="Normal 188 3 2 3 2 2" xfId="15298" xr:uid="{00000000-0005-0000-0000-0000C23B0000}"/>
    <cellStyle name="Normal 188 3 2 3 3" xfId="15299" xr:uid="{00000000-0005-0000-0000-0000C33B0000}"/>
    <cellStyle name="Normal 188 3 2 4" xfId="15300" xr:uid="{00000000-0005-0000-0000-0000C43B0000}"/>
    <cellStyle name="Normal 188 3 3" xfId="15301" xr:uid="{00000000-0005-0000-0000-0000C53B0000}"/>
    <cellStyle name="Normal 188 3 3 2" xfId="15302" xr:uid="{00000000-0005-0000-0000-0000C63B0000}"/>
    <cellStyle name="Normal 188 3 3 2 2" xfId="15303" xr:uid="{00000000-0005-0000-0000-0000C73B0000}"/>
    <cellStyle name="Normal 188 3 3 3" xfId="15304" xr:uid="{00000000-0005-0000-0000-0000C83B0000}"/>
    <cellStyle name="Normal 188 3 4" xfId="15305" xr:uid="{00000000-0005-0000-0000-0000C93B0000}"/>
    <cellStyle name="Normal 188 3 4 2" xfId="15306" xr:uid="{00000000-0005-0000-0000-0000CA3B0000}"/>
    <cellStyle name="Normal 188 3 4 2 2" xfId="15307" xr:uid="{00000000-0005-0000-0000-0000CB3B0000}"/>
    <cellStyle name="Normal 188 3 4 3" xfId="15308" xr:uid="{00000000-0005-0000-0000-0000CC3B0000}"/>
    <cellStyle name="Normal 188 3 5" xfId="15309" xr:uid="{00000000-0005-0000-0000-0000CD3B0000}"/>
    <cellStyle name="Normal 188 3 5 2" xfId="15310" xr:uid="{00000000-0005-0000-0000-0000CE3B0000}"/>
    <cellStyle name="Normal 188 3 5 2 2" xfId="15311" xr:uid="{00000000-0005-0000-0000-0000CF3B0000}"/>
    <cellStyle name="Normal 188 3 5 3" xfId="15312" xr:uid="{00000000-0005-0000-0000-0000D03B0000}"/>
    <cellStyle name="Normal 188 3 6" xfId="15313" xr:uid="{00000000-0005-0000-0000-0000D13B0000}"/>
    <cellStyle name="Normal 188 4" xfId="15314" xr:uid="{00000000-0005-0000-0000-0000D23B0000}"/>
    <cellStyle name="Normal 188 4 2" xfId="15315" xr:uid="{00000000-0005-0000-0000-0000D33B0000}"/>
    <cellStyle name="Normal 188 4 2 2" xfId="15316" xr:uid="{00000000-0005-0000-0000-0000D43B0000}"/>
    <cellStyle name="Normal 188 4 3" xfId="15317" xr:uid="{00000000-0005-0000-0000-0000D53B0000}"/>
    <cellStyle name="Normal 188 5" xfId="15318" xr:uid="{00000000-0005-0000-0000-0000D63B0000}"/>
    <cellStyle name="Normal 188 5 2" xfId="15319" xr:uid="{00000000-0005-0000-0000-0000D73B0000}"/>
    <cellStyle name="Normal 188 5 2 2" xfId="15320" xr:uid="{00000000-0005-0000-0000-0000D83B0000}"/>
    <cellStyle name="Normal 188 5 3" xfId="15321" xr:uid="{00000000-0005-0000-0000-0000D93B0000}"/>
    <cellStyle name="Normal 188 6" xfId="15322" xr:uid="{00000000-0005-0000-0000-0000DA3B0000}"/>
    <cellStyle name="Normal 188 6 2" xfId="15323" xr:uid="{00000000-0005-0000-0000-0000DB3B0000}"/>
    <cellStyle name="Normal 188 6 2 2" xfId="15324" xr:uid="{00000000-0005-0000-0000-0000DC3B0000}"/>
    <cellStyle name="Normal 188 6 3" xfId="15325" xr:uid="{00000000-0005-0000-0000-0000DD3B0000}"/>
    <cellStyle name="Normal 188 7" xfId="15326" xr:uid="{00000000-0005-0000-0000-0000DE3B0000}"/>
    <cellStyle name="Normal 189" xfId="15327" xr:uid="{00000000-0005-0000-0000-0000DF3B0000}"/>
    <cellStyle name="Normal 189 2" xfId="15328" xr:uid="{00000000-0005-0000-0000-0000E03B0000}"/>
    <cellStyle name="Normal 189 2 2" xfId="15329" xr:uid="{00000000-0005-0000-0000-0000E13B0000}"/>
    <cellStyle name="Normal 189 2 2 2" xfId="15330" xr:uid="{00000000-0005-0000-0000-0000E23B0000}"/>
    <cellStyle name="Normal 189 2 3" xfId="15331" xr:uid="{00000000-0005-0000-0000-0000E33B0000}"/>
    <cellStyle name="Normal 189 2 3 2" xfId="15332" xr:uid="{00000000-0005-0000-0000-0000E43B0000}"/>
    <cellStyle name="Normal 189 2 3 2 2" xfId="15333" xr:uid="{00000000-0005-0000-0000-0000E53B0000}"/>
    <cellStyle name="Normal 189 2 3 3" xfId="15334" xr:uid="{00000000-0005-0000-0000-0000E63B0000}"/>
    <cellStyle name="Normal 189 2 4" xfId="15335" xr:uid="{00000000-0005-0000-0000-0000E73B0000}"/>
    <cellStyle name="Normal 189 2 4 2" xfId="15336" xr:uid="{00000000-0005-0000-0000-0000E83B0000}"/>
    <cellStyle name="Normal 189 2 4 2 2" xfId="15337" xr:uid="{00000000-0005-0000-0000-0000E93B0000}"/>
    <cellStyle name="Normal 189 2 4 3" xfId="15338" xr:uid="{00000000-0005-0000-0000-0000EA3B0000}"/>
    <cellStyle name="Normal 189 2 5" xfId="15339" xr:uid="{00000000-0005-0000-0000-0000EB3B0000}"/>
    <cellStyle name="Normal 189 3" xfId="15340" xr:uid="{00000000-0005-0000-0000-0000EC3B0000}"/>
    <cellStyle name="Normal 189 3 2" xfId="15341" xr:uid="{00000000-0005-0000-0000-0000ED3B0000}"/>
    <cellStyle name="Normal 189 3 2 2" xfId="15342" xr:uid="{00000000-0005-0000-0000-0000EE3B0000}"/>
    <cellStyle name="Normal 189 3 2 2 2" xfId="15343" xr:uid="{00000000-0005-0000-0000-0000EF3B0000}"/>
    <cellStyle name="Normal 189 3 2 3" xfId="15344" xr:uid="{00000000-0005-0000-0000-0000F03B0000}"/>
    <cellStyle name="Normal 189 3 2 3 2" xfId="15345" xr:uid="{00000000-0005-0000-0000-0000F13B0000}"/>
    <cellStyle name="Normal 189 3 2 3 2 2" xfId="15346" xr:uid="{00000000-0005-0000-0000-0000F23B0000}"/>
    <cellStyle name="Normal 189 3 2 3 3" xfId="15347" xr:uid="{00000000-0005-0000-0000-0000F33B0000}"/>
    <cellStyle name="Normal 189 3 2 4" xfId="15348" xr:uid="{00000000-0005-0000-0000-0000F43B0000}"/>
    <cellStyle name="Normal 189 3 3" xfId="15349" xr:uid="{00000000-0005-0000-0000-0000F53B0000}"/>
    <cellStyle name="Normal 189 3 3 2" xfId="15350" xr:uid="{00000000-0005-0000-0000-0000F63B0000}"/>
    <cellStyle name="Normal 189 3 3 2 2" xfId="15351" xr:uid="{00000000-0005-0000-0000-0000F73B0000}"/>
    <cellStyle name="Normal 189 3 3 3" xfId="15352" xr:uid="{00000000-0005-0000-0000-0000F83B0000}"/>
    <cellStyle name="Normal 189 3 4" xfId="15353" xr:uid="{00000000-0005-0000-0000-0000F93B0000}"/>
    <cellStyle name="Normal 189 3 4 2" xfId="15354" xr:uid="{00000000-0005-0000-0000-0000FA3B0000}"/>
    <cellStyle name="Normal 189 3 4 2 2" xfId="15355" xr:uid="{00000000-0005-0000-0000-0000FB3B0000}"/>
    <cellStyle name="Normal 189 3 4 3" xfId="15356" xr:uid="{00000000-0005-0000-0000-0000FC3B0000}"/>
    <cellStyle name="Normal 189 3 5" xfId="15357" xr:uid="{00000000-0005-0000-0000-0000FD3B0000}"/>
    <cellStyle name="Normal 189 3 5 2" xfId="15358" xr:uid="{00000000-0005-0000-0000-0000FE3B0000}"/>
    <cellStyle name="Normal 189 3 5 2 2" xfId="15359" xr:uid="{00000000-0005-0000-0000-0000FF3B0000}"/>
    <cellStyle name="Normal 189 3 5 3" xfId="15360" xr:uid="{00000000-0005-0000-0000-0000003C0000}"/>
    <cellStyle name="Normal 189 3 6" xfId="15361" xr:uid="{00000000-0005-0000-0000-0000013C0000}"/>
    <cellStyle name="Normal 189 4" xfId="15362" xr:uid="{00000000-0005-0000-0000-0000023C0000}"/>
    <cellStyle name="Normal 189 4 2" xfId="15363" xr:uid="{00000000-0005-0000-0000-0000033C0000}"/>
    <cellStyle name="Normal 189 4 2 2" xfId="15364" xr:uid="{00000000-0005-0000-0000-0000043C0000}"/>
    <cellStyle name="Normal 189 4 3" xfId="15365" xr:uid="{00000000-0005-0000-0000-0000053C0000}"/>
    <cellStyle name="Normal 189 5" xfId="15366" xr:uid="{00000000-0005-0000-0000-0000063C0000}"/>
    <cellStyle name="Normal 189 5 2" xfId="15367" xr:uid="{00000000-0005-0000-0000-0000073C0000}"/>
    <cellStyle name="Normal 189 5 2 2" xfId="15368" xr:uid="{00000000-0005-0000-0000-0000083C0000}"/>
    <cellStyle name="Normal 189 5 3" xfId="15369" xr:uid="{00000000-0005-0000-0000-0000093C0000}"/>
    <cellStyle name="Normal 189 6" xfId="15370" xr:uid="{00000000-0005-0000-0000-00000A3C0000}"/>
    <cellStyle name="Normal 189 6 2" xfId="15371" xr:uid="{00000000-0005-0000-0000-00000B3C0000}"/>
    <cellStyle name="Normal 189 6 2 2" xfId="15372" xr:uid="{00000000-0005-0000-0000-00000C3C0000}"/>
    <cellStyle name="Normal 189 6 3" xfId="15373" xr:uid="{00000000-0005-0000-0000-00000D3C0000}"/>
    <cellStyle name="Normal 189 7" xfId="15374" xr:uid="{00000000-0005-0000-0000-00000E3C0000}"/>
    <cellStyle name="Normal 19" xfId="15375" xr:uid="{00000000-0005-0000-0000-00000F3C0000}"/>
    <cellStyle name="Normal 19 2" xfId="15376" xr:uid="{00000000-0005-0000-0000-0000103C0000}"/>
    <cellStyle name="Normal 19 2 2" xfId="15377" xr:uid="{00000000-0005-0000-0000-0000113C0000}"/>
    <cellStyle name="Normal 19 2 2 2" xfId="15378" xr:uid="{00000000-0005-0000-0000-0000123C0000}"/>
    <cellStyle name="Normal 19 2 2 2 2" xfId="15379" xr:uid="{00000000-0005-0000-0000-0000133C0000}"/>
    <cellStyle name="Normal 19 2 2 3" xfId="15380" xr:uid="{00000000-0005-0000-0000-0000143C0000}"/>
    <cellStyle name="Normal 19 2 2 3 2" xfId="15381" xr:uid="{00000000-0005-0000-0000-0000153C0000}"/>
    <cellStyle name="Normal 19 2 2 3 2 2" xfId="15382" xr:uid="{00000000-0005-0000-0000-0000163C0000}"/>
    <cellStyle name="Normal 19 2 2 3 3" xfId="15383" xr:uid="{00000000-0005-0000-0000-0000173C0000}"/>
    <cellStyle name="Normal 19 2 2 4" xfId="15384" xr:uid="{00000000-0005-0000-0000-0000183C0000}"/>
    <cellStyle name="Normal 19 2 2 4 2" xfId="15385" xr:uid="{00000000-0005-0000-0000-0000193C0000}"/>
    <cellStyle name="Normal 19 2 2 4 2 2" xfId="15386" xr:uid="{00000000-0005-0000-0000-00001A3C0000}"/>
    <cellStyle name="Normal 19 2 2 4 3" xfId="15387" xr:uid="{00000000-0005-0000-0000-00001B3C0000}"/>
    <cellStyle name="Normal 19 2 2 5" xfId="15388" xr:uid="{00000000-0005-0000-0000-00001C3C0000}"/>
    <cellStyle name="Normal 19 2 3" xfId="15389" xr:uid="{00000000-0005-0000-0000-00001D3C0000}"/>
    <cellStyle name="Normal 19 2 3 2" xfId="15390" xr:uid="{00000000-0005-0000-0000-00001E3C0000}"/>
    <cellStyle name="Normal 19 2 3 2 2" xfId="15391" xr:uid="{00000000-0005-0000-0000-00001F3C0000}"/>
    <cellStyle name="Normal 19 2 3 3" xfId="15392" xr:uid="{00000000-0005-0000-0000-0000203C0000}"/>
    <cellStyle name="Normal 19 2 4" xfId="15393" xr:uid="{00000000-0005-0000-0000-0000213C0000}"/>
    <cellStyle name="Normal 19 2 4 2" xfId="15394" xr:uid="{00000000-0005-0000-0000-0000223C0000}"/>
    <cellStyle name="Normal 19 2 4 2 2" xfId="15395" xr:uid="{00000000-0005-0000-0000-0000233C0000}"/>
    <cellStyle name="Normal 19 2 4 3" xfId="15396" xr:uid="{00000000-0005-0000-0000-0000243C0000}"/>
    <cellStyle name="Normal 19 2 5" xfId="15397" xr:uid="{00000000-0005-0000-0000-0000253C0000}"/>
    <cellStyle name="Normal 19 2 5 2" xfId="15398" xr:uid="{00000000-0005-0000-0000-0000263C0000}"/>
    <cellStyle name="Normal 19 2 5 2 2" xfId="15399" xr:uid="{00000000-0005-0000-0000-0000273C0000}"/>
    <cellStyle name="Normal 19 2 5 3" xfId="15400" xr:uid="{00000000-0005-0000-0000-0000283C0000}"/>
    <cellStyle name="Normal 19 2 6" xfId="15401" xr:uid="{00000000-0005-0000-0000-0000293C0000}"/>
    <cellStyle name="Normal 19 3" xfId="15402" xr:uid="{00000000-0005-0000-0000-00002A3C0000}"/>
    <cellStyle name="Normal 19 3 2" xfId="15403" xr:uid="{00000000-0005-0000-0000-00002B3C0000}"/>
    <cellStyle name="Normal 19 3 2 2" xfId="15404" xr:uid="{00000000-0005-0000-0000-00002C3C0000}"/>
    <cellStyle name="Normal 19 3 3" xfId="15405" xr:uid="{00000000-0005-0000-0000-00002D3C0000}"/>
    <cellStyle name="Normal 19 3 3 2" xfId="15406" xr:uid="{00000000-0005-0000-0000-00002E3C0000}"/>
    <cellStyle name="Normal 19 3 3 2 2" xfId="15407" xr:uid="{00000000-0005-0000-0000-00002F3C0000}"/>
    <cellStyle name="Normal 19 3 3 3" xfId="15408" xr:uid="{00000000-0005-0000-0000-0000303C0000}"/>
    <cellStyle name="Normal 19 3 4" xfId="15409" xr:uid="{00000000-0005-0000-0000-0000313C0000}"/>
    <cellStyle name="Normal 19 3 4 2" xfId="15410" xr:uid="{00000000-0005-0000-0000-0000323C0000}"/>
    <cellStyle name="Normal 19 3 4 2 2" xfId="15411" xr:uid="{00000000-0005-0000-0000-0000333C0000}"/>
    <cellStyle name="Normal 19 3 4 3" xfId="15412" xr:uid="{00000000-0005-0000-0000-0000343C0000}"/>
    <cellStyle name="Normal 19 3 5" xfId="15413" xr:uid="{00000000-0005-0000-0000-0000353C0000}"/>
    <cellStyle name="Normal 19 4" xfId="15414" xr:uid="{00000000-0005-0000-0000-0000363C0000}"/>
    <cellStyle name="Normal 19 4 2" xfId="15415" xr:uid="{00000000-0005-0000-0000-0000373C0000}"/>
    <cellStyle name="Normal 19 4 2 2" xfId="15416" xr:uid="{00000000-0005-0000-0000-0000383C0000}"/>
    <cellStyle name="Normal 19 4 2 2 2" xfId="15417" xr:uid="{00000000-0005-0000-0000-0000393C0000}"/>
    <cellStyle name="Normal 19 4 2 3" xfId="15418" xr:uid="{00000000-0005-0000-0000-00003A3C0000}"/>
    <cellStyle name="Normal 19 4 2 3 2" xfId="15419" xr:uid="{00000000-0005-0000-0000-00003B3C0000}"/>
    <cellStyle name="Normal 19 4 2 3 2 2" xfId="15420" xr:uid="{00000000-0005-0000-0000-00003C3C0000}"/>
    <cellStyle name="Normal 19 4 2 3 3" xfId="15421" xr:uid="{00000000-0005-0000-0000-00003D3C0000}"/>
    <cellStyle name="Normal 19 4 2 4" xfId="15422" xr:uid="{00000000-0005-0000-0000-00003E3C0000}"/>
    <cellStyle name="Normal 19 4 3" xfId="15423" xr:uid="{00000000-0005-0000-0000-00003F3C0000}"/>
    <cellStyle name="Normal 19 4 3 2" xfId="15424" xr:uid="{00000000-0005-0000-0000-0000403C0000}"/>
    <cellStyle name="Normal 19 4 3 2 2" xfId="15425" xr:uid="{00000000-0005-0000-0000-0000413C0000}"/>
    <cellStyle name="Normal 19 4 3 3" xfId="15426" xr:uid="{00000000-0005-0000-0000-0000423C0000}"/>
    <cellStyle name="Normal 19 4 4" xfId="15427" xr:uid="{00000000-0005-0000-0000-0000433C0000}"/>
    <cellStyle name="Normal 19 4 4 2" xfId="15428" xr:uid="{00000000-0005-0000-0000-0000443C0000}"/>
    <cellStyle name="Normal 19 4 4 2 2" xfId="15429" xr:uid="{00000000-0005-0000-0000-0000453C0000}"/>
    <cellStyle name="Normal 19 4 4 3" xfId="15430" xr:uid="{00000000-0005-0000-0000-0000463C0000}"/>
    <cellStyle name="Normal 19 4 5" xfId="15431" xr:uid="{00000000-0005-0000-0000-0000473C0000}"/>
    <cellStyle name="Normal 19 4 5 2" xfId="15432" xr:uid="{00000000-0005-0000-0000-0000483C0000}"/>
    <cellStyle name="Normal 19 4 5 2 2" xfId="15433" xr:uid="{00000000-0005-0000-0000-0000493C0000}"/>
    <cellStyle name="Normal 19 4 5 3" xfId="15434" xr:uid="{00000000-0005-0000-0000-00004A3C0000}"/>
    <cellStyle name="Normal 19 4 6" xfId="15435" xr:uid="{00000000-0005-0000-0000-00004B3C0000}"/>
    <cellStyle name="Normal 19 5" xfId="15436" xr:uid="{00000000-0005-0000-0000-00004C3C0000}"/>
    <cellStyle name="Normal 190" xfId="15437" xr:uid="{00000000-0005-0000-0000-00004D3C0000}"/>
    <cellStyle name="Normal 190 2" xfId="15438" xr:uid="{00000000-0005-0000-0000-00004E3C0000}"/>
    <cellStyle name="Normal 190 2 2" xfId="15439" xr:uid="{00000000-0005-0000-0000-00004F3C0000}"/>
    <cellStyle name="Normal 190 2 2 2" xfId="15440" xr:uid="{00000000-0005-0000-0000-0000503C0000}"/>
    <cellStyle name="Normal 190 2 3" xfId="15441" xr:uid="{00000000-0005-0000-0000-0000513C0000}"/>
    <cellStyle name="Normal 190 2 3 2" xfId="15442" xr:uid="{00000000-0005-0000-0000-0000523C0000}"/>
    <cellStyle name="Normal 190 2 3 2 2" xfId="15443" xr:uid="{00000000-0005-0000-0000-0000533C0000}"/>
    <cellStyle name="Normal 190 2 3 3" xfId="15444" xr:uid="{00000000-0005-0000-0000-0000543C0000}"/>
    <cellStyle name="Normal 190 2 4" xfId="15445" xr:uid="{00000000-0005-0000-0000-0000553C0000}"/>
    <cellStyle name="Normal 190 2 4 2" xfId="15446" xr:uid="{00000000-0005-0000-0000-0000563C0000}"/>
    <cellStyle name="Normal 190 2 4 2 2" xfId="15447" xr:uid="{00000000-0005-0000-0000-0000573C0000}"/>
    <cellStyle name="Normal 190 2 4 3" xfId="15448" xr:uid="{00000000-0005-0000-0000-0000583C0000}"/>
    <cellStyle name="Normal 190 2 5" xfId="15449" xr:uid="{00000000-0005-0000-0000-0000593C0000}"/>
    <cellStyle name="Normal 190 3" xfId="15450" xr:uid="{00000000-0005-0000-0000-00005A3C0000}"/>
    <cellStyle name="Normal 190 3 2" xfId="15451" xr:uid="{00000000-0005-0000-0000-00005B3C0000}"/>
    <cellStyle name="Normal 190 3 2 2" xfId="15452" xr:uid="{00000000-0005-0000-0000-00005C3C0000}"/>
    <cellStyle name="Normal 190 3 2 2 2" xfId="15453" xr:uid="{00000000-0005-0000-0000-00005D3C0000}"/>
    <cellStyle name="Normal 190 3 2 3" xfId="15454" xr:uid="{00000000-0005-0000-0000-00005E3C0000}"/>
    <cellStyle name="Normal 190 3 2 3 2" xfId="15455" xr:uid="{00000000-0005-0000-0000-00005F3C0000}"/>
    <cellStyle name="Normal 190 3 2 3 2 2" xfId="15456" xr:uid="{00000000-0005-0000-0000-0000603C0000}"/>
    <cellStyle name="Normal 190 3 2 3 3" xfId="15457" xr:uid="{00000000-0005-0000-0000-0000613C0000}"/>
    <cellStyle name="Normal 190 3 2 4" xfId="15458" xr:uid="{00000000-0005-0000-0000-0000623C0000}"/>
    <cellStyle name="Normal 190 3 3" xfId="15459" xr:uid="{00000000-0005-0000-0000-0000633C0000}"/>
    <cellStyle name="Normal 190 3 3 2" xfId="15460" xr:uid="{00000000-0005-0000-0000-0000643C0000}"/>
    <cellStyle name="Normal 190 3 3 2 2" xfId="15461" xr:uid="{00000000-0005-0000-0000-0000653C0000}"/>
    <cellStyle name="Normal 190 3 3 3" xfId="15462" xr:uid="{00000000-0005-0000-0000-0000663C0000}"/>
    <cellStyle name="Normal 190 3 4" xfId="15463" xr:uid="{00000000-0005-0000-0000-0000673C0000}"/>
    <cellStyle name="Normal 190 3 4 2" xfId="15464" xr:uid="{00000000-0005-0000-0000-0000683C0000}"/>
    <cellStyle name="Normal 190 3 4 2 2" xfId="15465" xr:uid="{00000000-0005-0000-0000-0000693C0000}"/>
    <cellStyle name="Normal 190 3 4 3" xfId="15466" xr:uid="{00000000-0005-0000-0000-00006A3C0000}"/>
    <cellStyle name="Normal 190 3 5" xfId="15467" xr:uid="{00000000-0005-0000-0000-00006B3C0000}"/>
    <cellStyle name="Normal 190 3 5 2" xfId="15468" xr:uid="{00000000-0005-0000-0000-00006C3C0000}"/>
    <cellStyle name="Normal 190 3 5 2 2" xfId="15469" xr:uid="{00000000-0005-0000-0000-00006D3C0000}"/>
    <cellStyle name="Normal 190 3 5 3" xfId="15470" xr:uid="{00000000-0005-0000-0000-00006E3C0000}"/>
    <cellStyle name="Normal 190 3 6" xfId="15471" xr:uid="{00000000-0005-0000-0000-00006F3C0000}"/>
    <cellStyle name="Normal 190 4" xfId="15472" xr:uid="{00000000-0005-0000-0000-0000703C0000}"/>
    <cellStyle name="Normal 190 4 2" xfId="15473" xr:uid="{00000000-0005-0000-0000-0000713C0000}"/>
    <cellStyle name="Normal 190 4 2 2" xfId="15474" xr:uid="{00000000-0005-0000-0000-0000723C0000}"/>
    <cellStyle name="Normal 190 4 3" xfId="15475" xr:uid="{00000000-0005-0000-0000-0000733C0000}"/>
    <cellStyle name="Normal 190 5" xfId="15476" xr:uid="{00000000-0005-0000-0000-0000743C0000}"/>
    <cellStyle name="Normal 190 5 2" xfId="15477" xr:uid="{00000000-0005-0000-0000-0000753C0000}"/>
    <cellStyle name="Normal 190 5 2 2" xfId="15478" xr:uid="{00000000-0005-0000-0000-0000763C0000}"/>
    <cellStyle name="Normal 190 5 3" xfId="15479" xr:uid="{00000000-0005-0000-0000-0000773C0000}"/>
    <cellStyle name="Normal 190 6" xfId="15480" xr:uid="{00000000-0005-0000-0000-0000783C0000}"/>
    <cellStyle name="Normal 190 6 2" xfId="15481" xr:uid="{00000000-0005-0000-0000-0000793C0000}"/>
    <cellStyle name="Normal 190 6 2 2" xfId="15482" xr:uid="{00000000-0005-0000-0000-00007A3C0000}"/>
    <cellStyle name="Normal 190 6 3" xfId="15483" xr:uid="{00000000-0005-0000-0000-00007B3C0000}"/>
    <cellStyle name="Normal 190 7" xfId="15484" xr:uid="{00000000-0005-0000-0000-00007C3C0000}"/>
    <cellStyle name="Normal 191" xfId="15485" xr:uid="{00000000-0005-0000-0000-00007D3C0000}"/>
    <cellStyle name="Normal 191 2" xfId="15486" xr:uid="{00000000-0005-0000-0000-00007E3C0000}"/>
    <cellStyle name="Normal 191 2 2" xfId="15487" xr:uid="{00000000-0005-0000-0000-00007F3C0000}"/>
    <cellStyle name="Normal 191 2 2 2" xfId="15488" xr:uid="{00000000-0005-0000-0000-0000803C0000}"/>
    <cellStyle name="Normal 191 2 3" xfId="15489" xr:uid="{00000000-0005-0000-0000-0000813C0000}"/>
    <cellStyle name="Normal 191 2 3 2" xfId="15490" xr:uid="{00000000-0005-0000-0000-0000823C0000}"/>
    <cellStyle name="Normal 191 2 3 2 2" xfId="15491" xr:uid="{00000000-0005-0000-0000-0000833C0000}"/>
    <cellStyle name="Normal 191 2 3 3" xfId="15492" xr:uid="{00000000-0005-0000-0000-0000843C0000}"/>
    <cellStyle name="Normal 191 2 4" xfId="15493" xr:uid="{00000000-0005-0000-0000-0000853C0000}"/>
    <cellStyle name="Normal 191 2 4 2" xfId="15494" xr:uid="{00000000-0005-0000-0000-0000863C0000}"/>
    <cellStyle name="Normal 191 2 4 2 2" xfId="15495" xr:uid="{00000000-0005-0000-0000-0000873C0000}"/>
    <cellStyle name="Normal 191 2 4 3" xfId="15496" xr:uid="{00000000-0005-0000-0000-0000883C0000}"/>
    <cellStyle name="Normal 191 2 5" xfId="15497" xr:uid="{00000000-0005-0000-0000-0000893C0000}"/>
    <cellStyle name="Normal 191 3" xfId="15498" xr:uid="{00000000-0005-0000-0000-00008A3C0000}"/>
    <cellStyle name="Normal 191 3 2" xfId="15499" xr:uid="{00000000-0005-0000-0000-00008B3C0000}"/>
    <cellStyle name="Normal 191 3 2 2" xfId="15500" xr:uid="{00000000-0005-0000-0000-00008C3C0000}"/>
    <cellStyle name="Normal 191 3 2 2 2" xfId="15501" xr:uid="{00000000-0005-0000-0000-00008D3C0000}"/>
    <cellStyle name="Normal 191 3 2 3" xfId="15502" xr:uid="{00000000-0005-0000-0000-00008E3C0000}"/>
    <cellStyle name="Normal 191 3 2 3 2" xfId="15503" xr:uid="{00000000-0005-0000-0000-00008F3C0000}"/>
    <cellStyle name="Normal 191 3 2 3 2 2" xfId="15504" xr:uid="{00000000-0005-0000-0000-0000903C0000}"/>
    <cellStyle name="Normal 191 3 2 3 3" xfId="15505" xr:uid="{00000000-0005-0000-0000-0000913C0000}"/>
    <cellStyle name="Normal 191 3 2 4" xfId="15506" xr:uid="{00000000-0005-0000-0000-0000923C0000}"/>
    <cellStyle name="Normal 191 3 3" xfId="15507" xr:uid="{00000000-0005-0000-0000-0000933C0000}"/>
    <cellStyle name="Normal 191 3 3 2" xfId="15508" xr:uid="{00000000-0005-0000-0000-0000943C0000}"/>
    <cellStyle name="Normal 191 3 3 2 2" xfId="15509" xr:uid="{00000000-0005-0000-0000-0000953C0000}"/>
    <cellStyle name="Normal 191 3 3 3" xfId="15510" xr:uid="{00000000-0005-0000-0000-0000963C0000}"/>
    <cellStyle name="Normal 191 3 4" xfId="15511" xr:uid="{00000000-0005-0000-0000-0000973C0000}"/>
    <cellStyle name="Normal 191 3 4 2" xfId="15512" xr:uid="{00000000-0005-0000-0000-0000983C0000}"/>
    <cellStyle name="Normal 191 3 4 2 2" xfId="15513" xr:uid="{00000000-0005-0000-0000-0000993C0000}"/>
    <cellStyle name="Normal 191 3 4 3" xfId="15514" xr:uid="{00000000-0005-0000-0000-00009A3C0000}"/>
    <cellStyle name="Normal 191 3 5" xfId="15515" xr:uid="{00000000-0005-0000-0000-00009B3C0000}"/>
    <cellStyle name="Normal 191 3 5 2" xfId="15516" xr:uid="{00000000-0005-0000-0000-00009C3C0000}"/>
    <cellStyle name="Normal 191 3 5 2 2" xfId="15517" xr:uid="{00000000-0005-0000-0000-00009D3C0000}"/>
    <cellStyle name="Normal 191 3 5 3" xfId="15518" xr:uid="{00000000-0005-0000-0000-00009E3C0000}"/>
    <cellStyle name="Normal 191 3 6" xfId="15519" xr:uid="{00000000-0005-0000-0000-00009F3C0000}"/>
    <cellStyle name="Normal 191 4" xfId="15520" xr:uid="{00000000-0005-0000-0000-0000A03C0000}"/>
    <cellStyle name="Normal 191 4 2" xfId="15521" xr:uid="{00000000-0005-0000-0000-0000A13C0000}"/>
    <cellStyle name="Normal 191 4 2 2" xfId="15522" xr:uid="{00000000-0005-0000-0000-0000A23C0000}"/>
    <cellStyle name="Normal 191 4 3" xfId="15523" xr:uid="{00000000-0005-0000-0000-0000A33C0000}"/>
    <cellStyle name="Normal 191 5" xfId="15524" xr:uid="{00000000-0005-0000-0000-0000A43C0000}"/>
    <cellStyle name="Normal 191 5 2" xfId="15525" xr:uid="{00000000-0005-0000-0000-0000A53C0000}"/>
    <cellStyle name="Normal 191 5 2 2" xfId="15526" xr:uid="{00000000-0005-0000-0000-0000A63C0000}"/>
    <cellStyle name="Normal 191 5 3" xfId="15527" xr:uid="{00000000-0005-0000-0000-0000A73C0000}"/>
    <cellStyle name="Normal 191 6" xfId="15528" xr:uid="{00000000-0005-0000-0000-0000A83C0000}"/>
    <cellStyle name="Normal 191 6 2" xfId="15529" xr:uid="{00000000-0005-0000-0000-0000A93C0000}"/>
    <cellStyle name="Normal 191 6 2 2" xfId="15530" xr:uid="{00000000-0005-0000-0000-0000AA3C0000}"/>
    <cellStyle name="Normal 191 6 3" xfId="15531" xr:uid="{00000000-0005-0000-0000-0000AB3C0000}"/>
    <cellStyle name="Normal 191 7" xfId="15532" xr:uid="{00000000-0005-0000-0000-0000AC3C0000}"/>
    <cellStyle name="Normal 192" xfId="15533" xr:uid="{00000000-0005-0000-0000-0000AD3C0000}"/>
    <cellStyle name="Normal 192 2" xfId="15534" xr:uid="{00000000-0005-0000-0000-0000AE3C0000}"/>
    <cellStyle name="Normal 192 2 2" xfId="15535" xr:uid="{00000000-0005-0000-0000-0000AF3C0000}"/>
    <cellStyle name="Normal 192 2 2 2" xfId="15536" xr:uid="{00000000-0005-0000-0000-0000B03C0000}"/>
    <cellStyle name="Normal 192 2 2 2 2" xfId="15537" xr:uid="{00000000-0005-0000-0000-0000B13C0000}"/>
    <cellStyle name="Normal 192 2 2 3" xfId="15538" xr:uid="{00000000-0005-0000-0000-0000B23C0000}"/>
    <cellStyle name="Normal 192 2 2 3 2" xfId="15539" xr:uid="{00000000-0005-0000-0000-0000B33C0000}"/>
    <cellStyle name="Normal 192 2 2 3 2 2" xfId="15540" xr:uid="{00000000-0005-0000-0000-0000B43C0000}"/>
    <cellStyle name="Normal 192 2 2 3 3" xfId="15541" xr:uid="{00000000-0005-0000-0000-0000B53C0000}"/>
    <cellStyle name="Normal 192 2 2 4" xfId="15542" xr:uid="{00000000-0005-0000-0000-0000B63C0000}"/>
    <cellStyle name="Normal 192 2 2 4 2" xfId="15543" xr:uid="{00000000-0005-0000-0000-0000B73C0000}"/>
    <cellStyle name="Normal 192 2 2 4 2 2" xfId="15544" xr:uid="{00000000-0005-0000-0000-0000B83C0000}"/>
    <cellStyle name="Normal 192 2 2 4 3" xfId="15545" xr:uid="{00000000-0005-0000-0000-0000B93C0000}"/>
    <cellStyle name="Normal 192 2 2 5" xfId="15546" xr:uid="{00000000-0005-0000-0000-0000BA3C0000}"/>
    <cellStyle name="Normal 192 2 3" xfId="15547" xr:uid="{00000000-0005-0000-0000-0000BB3C0000}"/>
    <cellStyle name="Normal 192 2 3 2" xfId="15548" xr:uid="{00000000-0005-0000-0000-0000BC3C0000}"/>
    <cellStyle name="Normal 192 2 3 2 2" xfId="15549" xr:uid="{00000000-0005-0000-0000-0000BD3C0000}"/>
    <cellStyle name="Normal 192 2 3 2 2 2" xfId="15550" xr:uid="{00000000-0005-0000-0000-0000BE3C0000}"/>
    <cellStyle name="Normal 192 2 3 2 3" xfId="15551" xr:uid="{00000000-0005-0000-0000-0000BF3C0000}"/>
    <cellStyle name="Normal 192 2 3 2 3 2" xfId="15552" xr:uid="{00000000-0005-0000-0000-0000C03C0000}"/>
    <cellStyle name="Normal 192 2 3 2 3 2 2" xfId="15553" xr:uid="{00000000-0005-0000-0000-0000C13C0000}"/>
    <cellStyle name="Normal 192 2 3 2 3 3" xfId="15554" xr:uid="{00000000-0005-0000-0000-0000C23C0000}"/>
    <cellStyle name="Normal 192 2 3 2 4" xfId="15555" xr:uid="{00000000-0005-0000-0000-0000C33C0000}"/>
    <cellStyle name="Normal 192 2 3 3" xfId="15556" xr:uid="{00000000-0005-0000-0000-0000C43C0000}"/>
    <cellStyle name="Normal 192 2 3 3 2" xfId="15557" xr:uid="{00000000-0005-0000-0000-0000C53C0000}"/>
    <cellStyle name="Normal 192 2 3 3 2 2" xfId="15558" xr:uid="{00000000-0005-0000-0000-0000C63C0000}"/>
    <cellStyle name="Normal 192 2 3 3 3" xfId="15559" xr:uid="{00000000-0005-0000-0000-0000C73C0000}"/>
    <cellStyle name="Normal 192 2 3 4" xfId="15560" xr:uid="{00000000-0005-0000-0000-0000C83C0000}"/>
    <cellStyle name="Normal 192 2 3 4 2" xfId="15561" xr:uid="{00000000-0005-0000-0000-0000C93C0000}"/>
    <cellStyle name="Normal 192 2 3 4 2 2" xfId="15562" xr:uid="{00000000-0005-0000-0000-0000CA3C0000}"/>
    <cellStyle name="Normal 192 2 3 4 3" xfId="15563" xr:uid="{00000000-0005-0000-0000-0000CB3C0000}"/>
    <cellStyle name="Normal 192 2 3 5" xfId="15564" xr:uid="{00000000-0005-0000-0000-0000CC3C0000}"/>
    <cellStyle name="Normal 192 2 3 5 2" xfId="15565" xr:uid="{00000000-0005-0000-0000-0000CD3C0000}"/>
    <cellStyle name="Normal 192 2 3 5 2 2" xfId="15566" xr:uid="{00000000-0005-0000-0000-0000CE3C0000}"/>
    <cellStyle name="Normal 192 2 3 5 3" xfId="15567" xr:uid="{00000000-0005-0000-0000-0000CF3C0000}"/>
    <cellStyle name="Normal 192 2 3 6" xfId="15568" xr:uid="{00000000-0005-0000-0000-0000D03C0000}"/>
    <cellStyle name="Normal 192 2 4" xfId="15569" xr:uid="{00000000-0005-0000-0000-0000D13C0000}"/>
    <cellStyle name="Normal 192 2 4 2" xfId="15570" xr:uid="{00000000-0005-0000-0000-0000D23C0000}"/>
    <cellStyle name="Normal 192 2 4 2 2" xfId="15571" xr:uid="{00000000-0005-0000-0000-0000D33C0000}"/>
    <cellStyle name="Normal 192 2 4 3" xfId="15572" xr:uid="{00000000-0005-0000-0000-0000D43C0000}"/>
    <cellStyle name="Normal 192 2 5" xfId="15573" xr:uid="{00000000-0005-0000-0000-0000D53C0000}"/>
    <cellStyle name="Normal 192 2 5 2" xfId="15574" xr:uid="{00000000-0005-0000-0000-0000D63C0000}"/>
    <cellStyle name="Normal 192 2 5 2 2" xfId="15575" xr:uid="{00000000-0005-0000-0000-0000D73C0000}"/>
    <cellStyle name="Normal 192 2 5 3" xfId="15576" xr:uid="{00000000-0005-0000-0000-0000D83C0000}"/>
    <cellStyle name="Normal 192 2 6" xfId="15577" xr:uid="{00000000-0005-0000-0000-0000D93C0000}"/>
    <cellStyle name="Normal 192 2 6 2" xfId="15578" xr:uid="{00000000-0005-0000-0000-0000DA3C0000}"/>
    <cellStyle name="Normal 192 2 6 2 2" xfId="15579" xr:uid="{00000000-0005-0000-0000-0000DB3C0000}"/>
    <cellStyle name="Normal 192 2 6 3" xfId="15580" xr:uid="{00000000-0005-0000-0000-0000DC3C0000}"/>
    <cellStyle name="Normal 192 2 7" xfId="15581" xr:uid="{00000000-0005-0000-0000-0000DD3C0000}"/>
    <cellStyle name="Normal 192 3" xfId="15582" xr:uid="{00000000-0005-0000-0000-0000DE3C0000}"/>
    <cellStyle name="Normal 192 3 2" xfId="15583" xr:uid="{00000000-0005-0000-0000-0000DF3C0000}"/>
    <cellStyle name="Normal 192 3 2 2" xfId="15584" xr:uid="{00000000-0005-0000-0000-0000E03C0000}"/>
    <cellStyle name="Normal 192 3 3" xfId="15585" xr:uid="{00000000-0005-0000-0000-0000E13C0000}"/>
    <cellStyle name="Normal 192 3 3 2" xfId="15586" xr:uid="{00000000-0005-0000-0000-0000E23C0000}"/>
    <cellStyle name="Normal 192 3 3 2 2" xfId="15587" xr:uid="{00000000-0005-0000-0000-0000E33C0000}"/>
    <cellStyle name="Normal 192 3 3 3" xfId="15588" xr:uid="{00000000-0005-0000-0000-0000E43C0000}"/>
    <cellStyle name="Normal 192 3 4" xfId="15589" xr:uid="{00000000-0005-0000-0000-0000E53C0000}"/>
    <cellStyle name="Normal 192 3 4 2" xfId="15590" xr:uid="{00000000-0005-0000-0000-0000E63C0000}"/>
    <cellStyle name="Normal 192 3 4 2 2" xfId="15591" xr:uid="{00000000-0005-0000-0000-0000E73C0000}"/>
    <cellStyle name="Normal 192 3 4 3" xfId="15592" xr:uid="{00000000-0005-0000-0000-0000E83C0000}"/>
    <cellStyle name="Normal 192 3 5" xfId="15593" xr:uid="{00000000-0005-0000-0000-0000E93C0000}"/>
    <cellStyle name="Normal 192 4" xfId="15594" xr:uid="{00000000-0005-0000-0000-0000EA3C0000}"/>
    <cellStyle name="Normal 192 4 2" xfId="15595" xr:uid="{00000000-0005-0000-0000-0000EB3C0000}"/>
    <cellStyle name="Normal 192 4 2 2" xfId="15596" xr:uid="{00000000-0005-0000-0000-0000EC3C0000}"/>
    <cellStyle name="Normal 192 4 2 2 2" xfId="15597" xr:uid="{00000000-0005-0000-0000-0000ED3C0000}"/>
    <cellStyle name="Normal 192 4 2 3" xfId="15598" xr:uid="{00000000-0005-0000-0000-0000EE3C0000}"/>
    <cellStyle name="Normal 192 4 2 3 2" xfId="15599" xr:uid="{00000000-0005-0000-0000-0000EF3C0000}"/>
    <cellStyle name="Normal 192 4 2 3 2 2" xfId="15600" xr:uid="{00000000-0005-0000-0000-0000F03C0000}"/>
    <cellStyle name="Normal 192 4 2 3 3" xfId="15601" xr:uid="{00000000-0005-0000-0000-0000F13C0000}"/>
    <cellStyle name="Normal 192 4 2 4" xfId="15602" xr:uid="{00000000-0005-0000-0000-0000F23C0000}"/>
    <cellStyle name="Normal 192 4 3" xfId="15603" xr:uid="{00000000-0005-0000-0000-0000F33C0000}"/>
    <cellStyle name="Normal 192 4 3 2" xfId="15604" xr:uid="{00000000-0005-0000-0000-0000F43C0000}"/>
    <cellStyle name="Normal 192 4 3 2 2" xfId="15605" xr:uid="{00000000-0005-0000-0000-0000F53C0000}"/>
    <cellStyle name="Normal 192 4 3 3" xfId="15606" xr:uid="{00000000-0005-0000-0000-0000F63C0000}"/>
    <cellStyle name="Normal 192 4 4" xfId="15607" xr:uid="{00000000-0005-0000-0000-0000F73C0000}"/>
    <cellStyle name="Normal 192 4 4 2" xfId="15608" xr:uid="{00000000-0005-0000-0000-0000F83C0000}"/>
    <cellStyle name="Normal 192 4 4 2 2" xfId="15609" xr:uid="{00000000-0005-0000-0000-0000F93C0000}"/>
    <cellStyle name="Normal 192 4 4 3" xfId="15610" xr:uid="{00000000-0005-0000-0000-0000FA3C0000}"/>
    <cellStyle name="Normal 192 4 5" xfId="15611" xr:uid="{00000000-0005-0000-0000-0000FB3C0000}"/>
    <cellStyle name="Normal 192 4 5 2" xfId="15612" xr:uid="{00000000-0005-0000-0000-0000FC3C0000}"/>
    <cellStyle name="Normal 192 4 5 2 2" xfId="15613" xr:uid="{00000000-0005-0000-0000-0000FD3C0000}"/>
    <cellStyle name="Normal 192 4 5 3" xfId="15614" xr:uid="{00000000-0005-0000-0000-0000FE3C0000}"/>
    <cellStyle name="Normal 192 4 6" xfId="15615" xr:uid="{00000000-0005-0000-0000-0000FF3C0000}"/>
    <cellStyle name="Normal 192 5" xfId="15616" xr:uid="{00000000-0005-0000-0000-0000003D0000}"/>
    <cellStyle name="Normal 192 5 2" xfId="15617" xr:uid="{00000000-0005-0000-0000-0000013D0000}"/>
    <cellStyle name="Normal 192 5 2 2" xfId="15618" xr:uid="{00000000-0005-0000-0000-0000023D0000}"/>
    <cellStyle name="Normal 192 5 3" xfId="15619" xr:uid="{00000000-0005-0000-0000-0000033D0000}"/>
    <cellStyle name="Normal 192 6" xfId="15620" xr:uid="{00000000-0005-0000-0000-0000043D0000}"/>
    <cellStyle name="Normal 192 6 2" xfId="15621" xr:uid="{00000000-0005-0000-0000-0000053D0000}"/>
    <cellStyle name="Normal 192 6 2 2" xfId="15622" xr:uid="{00000000-0005-0000-0000-0000063D0000}"/>
    <cellStyle name="Normal 192 6 3" xfId="15623" xr:uid="{00000000-0005-0000-0000-0000073D0000}"/>
    <cellStyle name="Normal 192 7" xfId="15624" xr:uid="{00000000-0005-0000-0000-0000083D0000}"/>
    <cellStyle name="Normal 192 7 2" xfId="15625" xr:uid="{00000000-0005-0000-0000-0000093D0000}"/>
    <cellStyle name="Normal 192 7 2 2" xfId="15626" xr:uid="{00000000-0005-0000-0000-00000A3D0000}"/>
    <cellStyle name="Normal 192 7 3" xfId="15627" xr:uid="{00000000-0005-0000-0000-00000B3D0000}"/>
    <cellStyle name="Normal 192 8" xfId="15628" xr:uid="{00000000-0005-0000-0000-00000C3D0000}"/>
    <cellStyle name="Normal 193" xfId="15629" xr:uid="{00000000-0005-0000-0000-00000D3D0000}"/>
    <cellStyle name="Normal 193 2" xfId="15630" xr:uid="{00000000-0005-0000-0000-00000E3D0000}"/>
    <cellStyle name="Normal 193 2 2" xfId="15631" xr:uid="{00000000-0005-0000-0000-00000F3D0000}"/>
    <cellStyle name="Normal 193 2 2 2" xfId="15632" xr:uid="{00000000-0005-0000-0000-0000103D0000}"/>
    <cellStyle name="Normal 193 2 2 2 2" xfId="15633" xr:uid="{00000000-0005-0000-0000-0000113D0000}"/>
    <cellStyle name="Normal 193 2 2 3" xfId="15634" xr:uid="{00000000-0005-0000-0000-0000123D0000}"/>
    <cellStyle name="Normal 193 2 2 3 2" xfId="15635" xr:uid="{00000000-0005-0000-0000-0000133D0000}"/>
    <cellStyle name="Normal 193 2 2 3 2 2" xfId="15636" xr:uid="{00000000-0005-0000-0000-0000143D0000}"/>
    <cellStyle name="Normal 193 2 2 3 3" xfId="15637" xr:uid="{00000000-0005-0000-0000-0000153D0000}"/>
    <cellStyle name="Normal 193 2 2 4" xfId="15638" xr:uid="{00000000-0005-0000-0000-0000163D0000}"/>
    <cellStyle name="Normal 193 2 2 4 2" xfId="15639" xr:uid="{00000000-0005-0000-0000-0000173D0000}"/>
    <cellStyle name="Normal 193 2 2 4 2 2" xfId="15640" xr:uid="{00000000-0005-0000-0000-0000183D0000}"/>
    <cellStyle name="Normal 193 2 2 4 3" xfId="15641" xr:uid="{00000000-0005-0000-0000-0000193D0000}"/>
    <cellStyle name="Normal 193 2 2 5" xfId="15642" xr:uid="{00000000-0005-0000-0000-00001A3D0000}"/>
    <cellStyle name="Normal 193 2 3" xfId="15643" xr:uid="{00000000-0005-0000-0000-00001B3D0000}"/>
    <cellStyle name="Normal 193 2 3 2" xfId="15644" xr:uid="{00000000-0005-0000-0000-00001C3D0000}"/>
    <cellStyle name="Normal 193 2 3 2 2" xfId="15645" xr:uid="{00000000-0005-0000-0000-00001D3D0000}"/>
    <cellStyle name="Normal 193 2 3 2 2 2" xfId="15646" xr:uid="{00000000-0005-0000-0000-00001E3D0000}"/>
    <cellStyle name="Normal 193 2 3 2 3" xfId="15647" xr:uid="{00000000-0005-0000-0000-00001F3D0000}"/>
    <cellStyle name="Normal 193 2 3 2 3 2" xfId="15648" xr:uid="{00000000-0005-0000-0000-0000203D0000}"/>
    <cellStyle name="Normal 193 2 3 2 3 2 2" xfId="15649" xr:uid="{00000000-0005-0000-0000-0000213D0000}"/>
    <cellStyle name="Normal 193 2 3 2 3 3" xfId="15650" xr:uid="{00000000-0005-0000-0000-0000223D0000}"/>
    <cellStyle name="Normal 193 2 3 2 4" xfId="15651" xr:uid="{00000000-0005-0000-0000-0000233D0000}"/>
    <cellStyle name="Normal 193 2 3 3" xfId="15652" xr:uid="{00000000-0005-0000-0000-0000243D0000}"/>
    <cellStyle name="Normal 193 2 3 3 2" xfId="15653" xr:uid="{00000000-0005-0000-0000-0000253D0000}"/>
    <cellStyle name="Normal 193 2 3 3 2 2" xfId="15654" xr:uid="{00000000-0005-0000-0000-0000263D0000}"/>
    <cellStyle name="Normal 193 2 3 3 3" xfId="15655" xr:uid="{00000000-0005-0000-0000-0000273D0000}"/>
    <cellStyle name="Normal 193 2 3 4" xfId="15656" xr:uid="{00000000-0005-0000-0000-0000283D0000}"/>
    <cellStyle name="Normal 193 2 3 4 2" xfId="15657" xr:uid="{00000000-0005-0000-0000-0000293D0000}"/>
    <cellStyle name="Normal 193 2 3 4 2 2" xfId="15658" xr:uid="{00000000-0005-0000-0000-00002A3D0000}"/>
    <cellStyle name="Normal 193 2 3 4 3" xfId="15659" xr:uid="{00000000-0005-0000-0000-00002B3D0000}"/>
    <cellStyle name="Normal 193 2 3 5" xfId="15660" xr:uid="{00000000-0005-0000-0000-00002C3D0000}"/>
    <cellStyle name="Normal 193 2 3 5 2" xfId="15661" xr:uid="{00000000-0005-0000-0000-00002D3D0000}"/>
    <cellStyle name="Normal 193 2 3 5 2 2" xfId="15662" xr:uid="{00000000-0005-0000-0000-00002E3D0000}"/>
    <cellStyle name="Normal 193 2 3 5 3" xfId="15663" xr:uid="{00000000-0005-0000-0000-00002F3D0000}"/>
    <cellStyle name="Normal 193 2 3 6" xfId="15664" xr:uid="{00000000-0005-0000-0000-0000303D0000}"/>
    <cellStyle name="Normal 193 2 4" xfId="15665" xr:uid="{00000000-0005-0000-0000-0000313D0000}"/>
    <cellStyle name="Normal 193 2 4 2" xfId="15666" xr:uid="{00000000-0005-0000-0000-0000323D0000}"/>
    <cellStyle name="Normal 193 2 4 2 2" xfId="15667" xr:uid="{00000000-0005-0000-0000-0000333D0000}"/>
    <cellStyle name="Normal 193 2 4 3" xfId="15668" xr:uid="{00000000-0005-0000-0000-0000343D0000}"/>
    <cellStyle name="Normal 193 2 5" xfId="15669" xr:uid="{00000000-0005-0000-0000-0000353D0000}"/>
    <cellStyle name="Normal 193 2 5 2" xfId="15670" xr:uid="{00000000-0005-0000-0000-0000363D0000}"/>
    <cellStyle name="Normal 193 2 5 2 2" xfId="15671" xr:uid="{00000000-0005-0000-0000-0000373D0000}"/>
    <cellStyle name="Normal 193 2 5 3" xfId="15672" xr:uid="{00000000-0005-0000-0000-0000383D0000}"/>
    <cellStyle name="Normal 193 2 6" xfId="15673" xr:uid="{00000000-0005-0000-0000-0000393D0000}"/>
    <cellStyle name="Normal 193 2 6 2" xfId="15674" xr:uid="{00000000-0005-0000-0000-00003A3D0000}"/>
    <cellStyle name="Normal 193 2 6 2 2" xfId="15675" xr:uid="{00000000-0005-0000-0000-00003B3D0000}"/>
    <cellStyle name="Normal 193 2 6 3" xfId="15676" xr:uid="{00000000-0005-0000-0000-00003C3D0000}"/>
    <cellStyle name="Normal 193 2 7" xfId="15677" xr:uid="{00000000-0005-0000-0000-00003D3D0000}"/>
    <cellStyle name="Normal 193 3" xfId="15678" xr:uid="{00000000-0005-0000-0000-00003E3D0000}"/>
    <cellStyle name="Normal 193 3 2" xfId="15679" xr:uid="{00000000-0005-0000-0000-00003F3D0000}"/>
    <cellStyle name="Normal 193 3 2 2" xfId="15680" xr:uid="{00000000-0005-0000-0000-0000403D0000}"/>
    <cellStyle name="Normal 193 3 3" xfId="15681" xr:uid="{00000000-0005-0000-0000-0000413D0000}"/>
    <cellStyle name="Normal 193 3 3 2" xfId="15682" xr:uid="{00000000-0005-0000-0000-0000423D0000}"/>
    <cellStyle name="Normal 193 3 3 2 2" xfId="15683" xr:uid="{00000000-0005-0000-0000-0000433D0000}"/>
    <cellStyle name="Normal 193 3 3 3" xfId="15684" xr:uid="{00000000-0005-0000-0000-0000443D0000}"/>
    <cellStyle name="Normal 193 3 4" xfId="15685" xr:uid="{00000000-0005-0000-0000-0000453D0000}"/>
    <cellStyle name="Normal 193 3 4 2" xfId="15686" xr:uid="{00000000-0005-0000-0000-0000463D0000}"/>
    <cellStyle name="Normal 193 3 4 2 2" xfId="15687" xr:uid="{00000000-0005-0000-0000-0000473D0000}"/>
    <cellStyle name="Normal 193 3 4 3" xfId="15688" xr:uid="{00000000-0005-0000-0000-0000483D0000}"/>
    <cellStyle name="Normal 193 3 5" xfId="15689" xr:uid="{00000000-0005-0000-0000-0000493D0000}"/>
    <cellStyle name="Normal 193 4" xfId="15690" xr:uid="{00000000-0005-0000-0000-00004A3D0000}"/>
    <cellStyle name="Normal 193 4 2" xfId="15691" xr:uid="{00000000-0005-0000-0000-00004B3D0000}"/>
    <cellStyle name="Normal 193 4 2 2" xfId="15692" xr:uid="{00000000-0005-0000-0000-00004C3D0000}"/>
    <cellStyle name="Normal 193 4 2 2 2" xfId="15693" xr:uid="{00000000-0005-0000-0000-00004D3D0000}"/>
    <cellStyle name="Normal 193 4 2 3" xfId="15694" xr:uid="{00000000-0005-0000-0000-00004E3D0000}"/>
    <cellStyle name="Normal 193 4 2 3 2" xfId="15695" xr:uid="{00000000-0005-0000-0000-00004F3D0000}"/>
    <cellStyle name="Normal 193 4 2 3 2 2" xfId="15696" xr:uid="{00000000-0005-0000-0000-0000503D0000}"/>
    <cellStyle name="Normal 193 4 2 3 3" xfId="15697" xr:uid="{00000000-0005-0000-0000-0000513D0000}"/>
    <cellStyle name="Normal 193 4 2 4" xfId="15698" xr:uid="{00000000-0005-0000-0000-0000523D0000}"/>
    <cellStyle name="Normal 193 4 3" xfId="15699" xr:uid="{00000000-0005-0000-0000-0000533D0000}"/>
    <cellStyle name="Normal 193 4 3 2" xfId="15700" xr:uid="{00000000-0005-0000-0000-0000543D0000}"/>
    <cellStyle name="Normal 193 4 3 2 2" xfId="15701" xr:uid="{00000000-0005-0000-0000-0000553D0000}"/>
    <cellStyle name="Normal 193 4 3 3" xfId="15702" xr:uid="{00000000-0005-0000-0000-0000563D0000}"/>
    <cellStyle name="Normal 193 4 4" xfId="15703" xr:uid="{00000000-0005-0000-0000-0000573D0000}"/>
    <cellStyle name="Normal 193 4 4 2" xfId="15704" xr:uid="{00000000-0005-0000-0000-0000583D0000}"/>
    <cellStyle name="Normal 193 4 4 2 2" xfId="15705" xr:uid="{00000000-0005-0000-0000-0000593D0000}"/>
    <cellStyle name="Normal 193 4 4 3" xfId="15706" xr:uid="{00000000-0005-0000-0000-00005A3D0000}"/>
    <cellStyle name="Normal 193 4 5" xfId="15707" xr:uid="{00000000-0005-0000-0000-00005B3D0000}"/>
    <cellStyle name="Normal 193 4 5 2" xfId="15708" xr:uid="{00000000-0005-0000-0000-00005C3D0000}"/>
    <cellStyle name="Normal 193 4 5 2 2" xfId="15709" xr:uid="{00000000-0005-0000-0000-00005D3D0000}"/>
    <cellStyle name="Normal 193 4 5 3" xfId="15710" xr:uid="{00000000-0005-0000-0000-00005E3D0000}"/>
    <cellStyle name="Normal 193 4 6" xfId="15711" xr:uid="{00000000-0005-0000-0000-00005F3D0000}"/>
    <cellStyle name="Normal 193 5" xfId="15712" xr:uid="{00000000-0005-0000-0000-0000603D0000}"/>
    <cellStyle name="Normal 193 5 2" xfId="15713" xr:uid="{00000000-0005-0000-0000-0000613D0000}"/>
    <cellStyle name="Normal 193 5 2 2" xfId="15714" xr:uid="{00000000-0005-0000-0000-0000623D0000}"/>
    <cellStyle name="Normal 193 5 3" xfId="15715" xr:uid="{00000000-0005-0000-0000-0000633D0000}"/>
    <cellStyle name="Normal 193 6" xfId="15716" xr:uid="{00000000-0005-0000-0000-0000643D0000}"/>
    <cellStyle name="Normal 193 6 2" xfId="15717" xr:uid="{00000000-0005-0000-0000-0000653D0000}"/>
    <cellStyle name="Normal 193 6 2 2" xfId="15718" xr:uid="{00000000-0005-0000-0000-0000663D0000}"/>
    <cellStyle name="Normal 193 6 3" xfId="15719" xr:uid="{00000000-0005-0000-0000-0000673D0000}"/>
    <cellStyle name="Normal 193 7" xfId="15720" xr:uid="{00000000-0005-0000-0000-0000683D0000}"/>
    <cellStyle name="Normal 193 7 2" xfId="15721" xr:uid="{00000000-0005-0000-0000-0000693D0000}"/>
    <cellStyle name="Normal 193 7 2 2" xfId="15722" xr:uid="{00000000-0005-0000-0000-00006A3D0000}"/>
    <cellStyle name="Normal 193 7 3" xfId="15723" xr:uid="{00000000-0005-0000-0000-00006B3D0000}"/>
    <cellStyle name="Normal 193 8" xfId="15724" xr:uid="{00000000-0005-0000-0000-00006C3D0000}"/>
    <cellStyle name="Normal 194" xfId="15725" xr:uid="{00000000-0005-0000-0000-00006D3D0000}"/>
    <cellStyle name="Normal 194 2" xfId="15726" xr:uid="{00000000-0005-0000-0000-00006E3D0000}"/>
    <cellStyle name="Normal 194 2 2" xfId="15727" xr:uid="{00000000-0005-0000-0000-00006F3D0000}"/>
    <cellStyle name="Normal 194 2 2 2" xfId="15728" xr:uid="{00000000-0005-0000-0000-0000703D0000}"/>
    <cellStyle name="Normal 194 2 2 2 2" xfId="15729" xr:uid="{00000000-0005-0000-0000-0000713D0000}"/>
    <cellStyle name="Normal 194 2 2 3" xfId="15730" xr:uid="{00000000-0005-0000-0000-0000723D0000}"/>
    <cellStyle name="Normal 194 2 2 3 2" xfId="15731" xr:uid="{00000000-0005-0000-0000-0000733D0000}"/>
    <cellStyle name="Normal 194 2 2 3 2 2" xfId="15732" xr:uid="{00000000-0005-0000-0000-0000743D0000}"/>
    <cellStyle name="Normal 194 2 2 3 3" xfId="15733" xr:uid="{00000000-0005-0000-0000-0000753D0000}"/>
    <cellStyle name="Normal 194 2 2 4" xfId="15734" xr:uid="{00000000-0005-0000-0000-0000763D0000}"/>
    <cellStyle name="Normal 194 2 2 4 2" xfId="15735" xr:uid="{00000000-0005-0000-0000-0000773D0000}"/>
    <cellStyle name="Normal 194 2 2 4 2 2" xfId="15736" xr:uid="{00000000-0005-0000-0000-0000783D0000}"/>
    <cellStyle name="Normal 194 2 2 4 3" xfId="15737" xr:uid="{00000000-0005-0000-0000-0000793D0000}"/>
    <cellStyle name="Normal 194 2 2 5" xfId="15738" xr:uid="{00000000-0005-0000-0000-00007A3D0000}"/>
    <cellStyle name="Normal 194 2 3" xfId="15739" xr:uid="{00000000-0005-0000-0000-00007B3D0000}"/>
    <cellStyle name="Normal 194 2 3 2" xfId="15740" xr:uid="{00000000-0005-0000-0000-00007C3D0000}"/>
    <cellStyle name="Normal 194 2 3 2 2" xfId="15741" xr:uid="{00000000-0005-0000-0000-00007D3D0000}"/>
    <cellStyle name="Normal 194 2 3 2 2 2" xfId="15742" xr:uid="{00000000-0005-0000-0000-00007E3D0000}"/>
    <cellStyle name="Normal 194 2 3 2 3" xfId="15743" xr:uid="{00000000-0005-0000-0000-00007F3D0000}"/>
    <cellStyle name="Normal 194 2 3 2 3 2" xfId="15744" xr:uid="{00000000-0005-0000-0000-0000803D0000}"/>
    <cellStyle name="Normal 194 2 3 2 3 2 2" xfId="15745" xr:uid="{00000000-0005-0000-0000-0000813D0000}"/>
    <cellStyle name="Normal 194 2 3 2 3 3" xfId="15746" xr:uid="{00000000-0005-0000-0000-0000823D0000}"/>
    <cellStyle name="Normal 194 2 3 2 4" xfId="15747" xr:uid="{00000000-0005-0000-0000-0000833D0000}"/>
    <cellStyle name="Normal 194 2 3 3" xfId="15748" xr:uid="{00000000-0005-0000-0000-0000843D0000}"/>
    <cellStyle name="Normal 194 2 3 3 2" xfId="15749" xr:uid="{00000000-0005-0000-0000-0000853D0000}"/>
    <cellStyle name="Normal 194 2 3 3 2 2" xfId="15750" xr:uid="{00000000-0005-0000-0000-0000863D0000}"/>
    <cellStyle name="Normal 194 2 3 3 3" xfId="15751" xr:uid="{00000000-0005-0000-0000-0000873D0000}"/>
    <cellStyle name="Normal 194 2 3 4" xfId="15752" xr:uid="{00000000-0005-0000-0000-0000883D0000}"/>
    <cellStyle name="Normal 194 2 3 4 2" xfId="15753" xr:uid="{00000000-0005-0000-0000-0000893D0000}"/>
    <cellStyle name="Normal 194 2 3 4 2 2" xfId="15754" xr:uid="{00000000-0005-0000-0000-00008A3D0000}"/>
    <cellStyle name="Normal 194 2 3 4 3" xfId="15755" xr:uid="{00000000-0005-0000-0000-00008B3D0000}"/>
    <cellStyle name="Normal 194 2 3 5" xfId="15756" xr:uid="{00000000-0005-0000-0000-00008C3D0000}"/>
    <cellStyle name="Normal 194 2 3 5 2" xfId="15757" xr:uid="{00000000-0005-0000-0000-00008D3D0000}"/>
    <cellStyle name="Normal 194 2 3 5 2 2" xfId="15758" xr:uid="{00000000-0005-0000-0000-00008E3D0000}"/>
    <cellStyle name="Normal 194 2 3 5 3" xfId="15759" xr:uid="{00000000-0005-0000-0000-00008F3D0000}"/>
    <cellStyle name="Normal 194 2 3 6" xfId="15760" xr:uid="{00000000-0005-0000-0000-0000903D0000}"/>
    <cellStyle name="Normal 194 2 4" xfId="15761" xr:uid="{00000000-0005-0000-0000-0000913D0000}"/>
    <cellStyle name="Normal 194 2 4 2" xfId="15762" xr:uid="{00000000-0005-0000-0000-0000923D0000}"/>
    <cellStyle name="Normal 194 2 4 2 2" xfId="15763" xr:uid="{00000000-0005-0000-0000-0000933D0000}"/>
    <cellStyle name="Normal 194 2 4 3" xfId="15764" xr:uid="{00000000-0005-0000-0000-0000943D0000}"/>
    <cellStyle name="Normal 194 2 5" xfId="15765" xr:uid="{00000000-0005-0000-0000-0000953D0000}"/>
    <cellStyle name="Normal 194 2 5 2" xfId="15766" xr:uid="{00000000-0005-0000-0000-0000963D0000}"/>
    <cellStyle name="Normal 194 2 5 2 2" xfId="15767" xr:uid="{00000000-0005-0000-0000-0000973D0000}"/>
    <cellStyle name="Normal 194 2 5 3" xfId="15768" xr:uid="{00000000-0005-0000-0000-0000983D0000}"/>
    <cellStyle name="Normal 194 2 6" xfId="15769" xr:uid="{00000000-0005-0000-0000-0000993D0000}"/>
    <cellStyle name="Normal 194 2 6 2" xfId="15770" xr:uid="{00000000-0005-0000-0000-00009A3D0000}"/>
    <cellStyle name="Normal 194 2 6 2 2" xfId="15771" xr:uid="{00000000-0005-0000-0000-00009B3D0000}"/>
    <cellStyle name="Normal 194 2 6 3" xfId="15772" xr:uid="{00000000-0005-0000-0000-00009C3D0000}"/>
    <cellStyle name="Normal 194 2 7" xfId="15773" xr:uid="{00000000-0005-0000-0000-00009D3D0000}"/>
    <cellStyle name="Normal 194 3" xfId="15774" xr:uid="{00000000-0005-0000-0000-00009E3D0000}"/>
    <cellStyle name="Normal 194 3 2" xfId="15775" xr:uid="{00000000-0005-0000-0000-00009F3D0000}"/>
    <cellStyle name="Normal 194 3 2 2" xfId="15776" xr:uid="{00000000-0005-0000-0000-0000A03D0000}"/>
    <cellStyle name="Normal 194 3 3" xfId="15777" xr:uid="{00000000-0005-0000-0000-0000A13D0000}"/>
    <cellStyle name="Normal 194 3 3 2" xfId="15778" xr:uid="{00000000-0005-0000-0000-0000A23D0000}"/>
    <cellStyle name="Normal 194 3 3 2 2" xfId="15779" xr:uid="{00000000-0005-0000-0000-0000A33D0000}"/>
    <cellStyle name="Normal 194 3 3 3" xfId="15780" xr:uid="{00000000-0005-0000-0000-0000A43D0000}"/>
    <cellStyle name="Normal 194 3 4" xfId="15781" xr:uid="{00000000-0005-0000-0000-0000A53D0000}"/>
    <cellStyle name="Normal 194 3 4 2" xfId="15782" xr:uid="{00000000-0005-0000-0000-0000A63D0000}"/>
    <cellStyle name="Normal 194 3 4 2 2" xfId="15783" xr:uid="{00000000-0005-0000-0000-0000A73D0000}"/>
    <cellStyle name="Normal 194 3 4 3" xfId="15784" xr:uid="{00000000-0005-0000-0000-0000A83D0000}"/>
    <cellStyle name="Normal 194 3 5" xfId="15785" xr:uid="{00000000-0005-0000-0000-0000A93D0000}"/>
    <cellStyle name="Normal 194 4" xfId="15786" xr:uid="{00000000-0005-0000-0000-0000AA3D0000}"/>
    <cellStyle name="Normal 194 4 2" xfId="15787" xr:uid="{00000000-0005-0000-0000-0000AB3D0000}"/>
    <cellStyle name="Normal 194 4 2 2" xfId="15788" xr:uid="{00000000-0005-0000-0000-0000AC3D0000}"/>
    <cellStyle name="Normal 194 4 2 2 2" xfId="15789" xr:uid="{00000000-0005-0000-0000-0000AD3D0000}"/>
    <cellStyle name="Normal 194 4 2 3" xfId="15790" xr:uid="{00000000-0005-0000-0000-0000AE3D0000}"/>
    <cellStyle name="Normal 194 4 2 3 2" xfId="15791" xr:uid="{00000000-0005-0000-0000-0000AF3D0000}"/>
    <cellStyle name="Normal 194 4 2 3 2 2" xfId="15792" xr:uid="{00000000-0005-0000-0000-0000B03D0000}"/>
    <cellStyle name="Normal 194 4 2 3 3" xfId="15793" xr:uid="{00000000-0005-0000-0000-0000B13D0000}"/>
    <cellStyle name="Normal 194 4 2 4" xfId="15794" xr:uid="{00000000-0005-0000-0000-0000B23D0000}"/>
    <cellStyle name="Normal 194 4 3" xfId="15795" xr:uid="{00000000-0005-0000-0000-0000B33D0000}"/>
    <cellStyle name="Normal 194 4 3 2" xfId="15796" xr:uid="{00000000-0005-0000-0000-0000B43D0000}"/>
    <cellStyle name="Normal 194 4 3 2 2" xfId="15797" xr:uid="{00000000-0005-0000-0000-0000B53D0000}"/>
    <cellStyle name="Normal 194 4 3 3" xfId="15798" xr:uid="{00000000-0005-0000-0000-0000B63D0000}"/>
    <cellStyle name="Normal 194 4 4" xfId="15799" xr:uid="{00000000-0005-0000-0000-0000B73D0000}"/>
    <cellStyle name="Normal 194 4 4 2" xfId="15800" xr:uid="{00000000-0005-0000-0000-0000B83D0000}"/>
    <cellStyle name="Normal 194 4 4 2 2" xfId="15801" xr:uid="{00000000-0005-0000-0000-0000B93D0000}"/>
    <cellStyle name="Normal 194 4 4 3" xfId="15802" xr:uid="{00000000-0005-0000-0000-0000BA3D0000}"/>
    <cellStyle name="Normal 194 4 5" xfId="15803" xr:uid="{00000000-0005-0000-0000-0000BB3D0000}"/>
    <cellStyle name="Normal 194 4 5 2" xfId="15804" xr:uid="{00000000-0005-0000-0000-0000BC3D0000}"/>
    <cellStyle name="Normal 194 4 5 2 2" xfId="15805" xr:uid="{00000000-0005-0000-0000-0000BD3D0000}"/>
    <cellStyle name="Normal 194 4 5 3" xfId="15806" xr:uid="{00000000-0005-0000-0000-0000BE3D0000}"/>
    <cellStyle name="Normal 194 4 6" xfId="15807" xr:uid="{00000000-0005-0000-0000-0000BF3D0000}"/>
    <cellStyle name="Normal 194 5" xfId="15808" xr:uid="{00000000-0005-0000-0000-0000C03D0000}"/>
    <cellStyle name="Normal 194 5 2" xfId="15809" xr:uid="{00000000-0005-0000-0000-0000C13D0000}"/>
    <cellStyle name="Normal 194 5 2 2" xfId="15810" xr:uid="{00000000-0005-0000-0000-0000C23D0000}"/>
    <cellStyle name="Normal 194 5 3" xfId="15811" xr:uid="{00000000-0005-0000-0000-0000C33D0000}"/>
    <cellStyle name="Normal 194 6" xfId="15812" xr:uid="{00000000-0005-0000-0000-0000C43D0000}"/>
    <cellStyle name="Normal 194 6 2" xfId="15813" xr:uid="{00000000-0005-0000-0000-0000C53D0000}"/>
    <cellStyle name="Normal 194 6 2 2" xfId="15814" xr:uid="{00000000-0005-0000-0000-0000C63D0000}"/>
    <cellStyle name="Normal 194 6 3" xfId="15815" xr:uid="{00000000-0005-0000-0000-0000C73D0000}"/>
    <cellStyle name="Normal 194 7" xfId="15816" xr:uid="{00000000-0005-0000-0000-0000C83D0000}"/>
    <cellStyle name="Normal 194 7 2" xfId="15817" xr:uid="{00000000-0005-0000-0000-0000C93D0000}"/>
    <cellStyle name="Normal 194 7 2 2" xfId="15818" xr:uid="{00000000-0005-0000-0000-0000CA3D0000}"/>
    <cellStyle name="Normal 194 7 3" xfId="15819" xr:uid="{00000000-0005-0000-0000-0000CB3D0000}"/>
    <cellStyle name="Normal 194 8" xfId="15820" xr:uid="{00000000-0005-0000-0000-0000CC3D0000}"/>
    <cellStyle name="Normal 195" xfId="15821" xr:uid="{00000000-0005-0000-0000-0000CD3D0000}"/>
    <cellStyle name="Normal 195 2" xfId="15822" xr:uid="{00000000-0005-0000-0000-0000CE3D0000}"/>
    <cellStyle name="Normal 195 2 2" xfId="15823" xr:uid="{00000000-0005-0000-0000-0000CF3D0000}"/>
    <cellStyle name="Normal 195 2 2 2" xfId="15824" xr:uid="{00000000-0005-0000-0000-0000D03D0000}"/>
    <cellStyle name="Normal 195 2 2 2 2" xfId="15825" xr:uid="{00000000-0005-0000-0000-0000D13D0000}"/>
    <cellStyle name="Normal 195 2 2 3" xfId="15826" xr:uid="{00000000-0005-0000-0000-0000D23D0000}"/>
    <cellStyle name="Normal 195 2 2 3 2" xfId="15827" xr:uid="{00000000-0005-0000-0000-0000D33D0000}"/>
    <cellStyle name="Normal 195 2 2 3 2 2" xfId="15828" xr:uid="{00000000-0005-0000-0000-0000D43D0000}"/>
    <cellStyle name="Normal 195 2 2 3 3" xfId="15829" xr:uid="{00000000-0005-0000-0000-0000D53D0000}"/>
    <cellStyle name="Normal 195 2 2 4" xfId="15830" xr:uid="{00000000-0005-0000-0000-0000D63D0000}"/>
    <cellStyle name="Normal 195 2 2 4 2" xfId="15831" xr:uid="{00000000-0005-0000-0000-0000D73D0000}"/>
    <cellStyle name="Normal 195 2 2 4 2 2" xfId="15832" xr:uid="{00000000-0005-0000-0000-0000D83D0000}"/>
    <cellStyle name="Normal 195 2 2 4 3" xfId="15833" xr:uid="{00000000-0005-0000-0000-0000D93D0000}"/>
    <cellStyle name="Normal 195 2 2 5" xfId="15834" xr:uid="{00000000-0005-0000-0000-0000DA3D0000}"/>
    <cellStyle name="Normal 195 2 3" xfId="15835" xr:uid="{00000000-0005-0000-0000-0000DB3D0000}"/>
    <cellStyle name="Normal 195 2 3 2" xfId="15836" xr:uid="{00000000-0005-0000-0000-0000DC3D0000}"/>
    <cellStyle name="Normal 195 2 3 2 2" xfId="15837" xr:uid="{00000000-0005-0000-0000-0000DD3D0000}"/>
    <cellStyle name="Normal 195 2 3 2 2 2" xfId="15838" xr:uid="{00000000-0005-0000-0000-0000DE3D0000}"/>
    <cellStyle name="Normal 195 2 3 2 3" xfId="15839" xr:uid="{00000000-0005-0000-0000-0000DF3D0000}"/>
    <cellStyle name="Normal 195 2 3 2 3 2" xfId="15840" xr:uid="{00000000-0005-0000-0000-0000E03D0000}"/>
    <cellStyle name="Normal 195 2 3 2 3 2 2" xfId="15841" xr:uid="{00000000-0005-0000-0000-0000E13D0000}"/>
    <cellStyle name="Normal 195 2 3 2 3 3" xfId="15842" xr:uid="{00000000-0005-0000-0000-0000E23D0000}"/>
    <cellStyle name="Normal 195 2 3 2 4" xfId="15843" xr:uid="{00000000-0005-0000-0000-0000E33D0000}"/>
    <cellStyle name="Normal 195 2 3 3" xfId="15844" xr:uid="{00000000-0005-0000-0000-0000E43D0000}"/>
    <cellStyle name="Normal 195 2 3 3 2" xfId="15845" xr:uid="{00000000-0005-0000-0000-0000E53D0000}"/>
    <cellStyle name="Normal 195 2 3 3 2 2" xfId="15846" xr:uid="{00000000-0005-0000-0000-0000E63D0000}"/>
    <cellStyle name="Normal 195 2 3 3 3" xfId="15847" xr:uid="{00000000-0005-0000-0000-0000E73D0000}"/>
    <cellStyle name="Normal 195 2 3 4" xfId="15848" xr:uid="{00000000-0005-0000-0000-0000E83D0000}"/>
    <cellStyle name="Normal 195 2 3 4 2" xfId="15849" xr:uid="{00000000-0005-0000-0000-0000E93D0000}"/>
    <cellStyle name="Normal 195 2 3 4 2 2" xfId="15850" xr:uid="{00000000-0005-0000-0000-0000EA3D0000}"/>
    <cellStyle name="Normal 195 2 3 4 3" xfId="15851" xr:uid="{00000000-0005-0000-0000-0000EB3D0000}"/>
    <cellStyle name="Normal 195 2 3 5" xfId="15852" xr:uid="{00000000-0005-0000-0000-0000EC3D0000}"/>
    <cellStyle name="Normal 195 2 3 5 2" xfId="15853" xr:uid="{00000000-0005-0000-0000-0000ED3D0000}"/>
    <cellStyle name="Normal 195 2 3 5 2 2" xfId="15854" xr:uid="{00000000-0005-0000-0000-0000EE3D0000}"/>
    <cellStyle name="Normal 195 2 3 5 3" xfId="15855" xr:uid="{00000000-0005-0000-0000-0000EF3D0000}"/>
    <cellStyle name="Normal 195 2 3 6" xfId="15856" xr:uid="{00000000-0005-0000-0000-0000F03D0000}"/>
    <cellStyle name="Normal 195 2 4" xfId="15857" xr:uid="{00000000-0005-0000-0000-0000F13D0000}"/>
    <cellStyle name="Normal 195 2 4 2" xfId="15858" xr:uid="{00000000-0005-0000-0000-0000F23D0000}"/>
    <cellStyle name="Normal 195 2 4 2 2" xfId="15859" xr:uid="{00000000-0005-0000-0000-0000F33D0000}"/>
    <cellStyle name="Normal 195 2 4 3" xfId="15860" xr:uid="{00000000-0005-0000-0000-0000F43D0000}"/>
    <cellStyle name="Normal 195 2 5" xfId="15861" xr:uid="{00000000-0005-0000-0000-0000F53D0000}"/>
    <cellStyle name="Normal 195 2 5 2" xfId="15862" xr:uid="{00000000-0005-0000-0000-0000F63D0000}"/>
    <cellStyle name="Normal 195 2 5 2 2" xfId="15863" xr:uid="{00000000-0005-0000-0000-0000F73D0000}"/>
    <cellStyle name="Normal 195 2 5 3" xfId="15864" xr:uid="{00000000-0005-0000-0000-0000F83D0000}"/>
    <cellStyle name="Normal 195 2 6" xfId="15865" xr:uid="{00000000-0005-0000-0000-0000F93D0000}"/>
    <cellStyle name="Normal 195 2 6 2" xfId="15866" xr:uid="{00000000-0005-0000-0000-0000FA3D0000}"/>
    <cellStyle name="Normal 195 2 6 2 2" xfId="15867" xr:uid="{00000000-0005-0000-0000-0000FB3D0000}"/>
    <cellStyle name="Normal 195 2 6 3" xfId="15868" xr:uid="{00000000-0005-0000-0000-0000FC3D0000}"/>
    <cellStyle name="Normal 195 2 7" xfId="15869" xr:uid="{00000000-0005-0000-0000-0000FD3D0000}"/>
    <cellStyle name="Normal 195 3" xfId="15870" xr:uid="{00000000-0005-0000-0000-0000FE3D0000}"/>
    <cellStyle name="Normal 195 3 2" xfId="15871" xr:uid="{00000000-0005-0000-0000-0000FF3D0000}"/>
    <cellStyle name="Normal 195 3 2 2" xfId="15872" xr:uid="{00000000-0005-0000-0000-0000003E0000}"/>
    <cellStyle name="Normal 195 3 3" xfId="15873" xr:uid="{00000000-0005-0000-0000-0000013E0000}"/>
    <cellStyle name="Normal 195 3 3 2" xfId="15874" xr:uid="{00000000-0005-0000-0000-0000023E0000}"/>
    <cellStyle name="Normal 195 3 3 2 2" xfId="15875" xr:uid="{00000000-0005-0000-0000-0000033E0000}"/>
    <cellStyle name="Normal 195 3 3 3" xfId="15876" xr:uid="{00000000-0005-0000-0000-0000043E0000}"/>
    <cellStyle name="Normal 195 3 4" xfId="15877" xr:uid="{00000000-0005-0000-0000-0000053E0000}"/>
    <cellStyle name="Normal 195 3 4 2" xfId="15878" xr:uid="{00000000-0005-0000-0000-0000063E0000}"/>
    <cellStyle name="Normal 195 3 4 2 2" xfId="15879" xr:uid="{00000000-0005-0000-0000-0000073E0000}"/>
    <cellStyle name="Normal 195 3 4 3" xfId="15880" xr:uid="{00000000-0005-0000-0000-0000083E0000}"/>
    <cellStyle name="Normal 195 3 5" xfId="15881" xr:uid="{00000000-0005-0000-0000-0000093E0000}"/>
    <cellStyle name="Normal 195 4" xfId="15882" xr:uid="{00000000-0005-0000-0000-00000A3E0000}"/>
    <cellStyle name="Normal 195 4 2" xfId="15883" xr:uid="{00000000-0005-0000-0000-00000B3E0000}"/>
    <cellStyle name="Normal 195 4 2 2" xfId="15884" xr:uid="{00000000-0005-0000-0000-00000C3E0000}"/>
    <cellStyle name="Normal 195 4 2 2 2" xfId="15885" xr:uid="{00000000-0005-0000-0000-00000D3E0000}"/>
    <cellStyle name="Normal 195 4 2 3" xfId="15886" xr:uid="{00000000-0005-0000-0000-00000E3E0000}"/>
    <cellStyle name="Normal 195 4 2 3 2" xfId="15887" xr:uid="{00000000-0005-0000-0000-00000F3E0000}"/>
    <cellStyle name="Normal 195 4 2 3 2 2" xfId="15888" xr:uid="{00000000-0005-0000-0000-0000103E0000}"/>
    <cellStyle name="Normal 195 4 2 3 3" xfId="15889" xr:uid="{00000000-0005-0000-0000-0000113E0000}"/>
    <cellStyle name="Normal 195 4 2 4" xfId="15890" xr:uid="{00000000-0005-0000-0000-0000123E0000}"/>
    <cellStyle name="Normal 195 4 3" xfId="15891" xr:uid="{00000000-0005-0000-0000-0000133E0000}"/>
    <cellStyle name="Normal 195 4 3 2" xfId="15892" xr:uid="{00000000-0005-0000-0000-0000143E0000}"/>
    <cellStyle name="Normal 195 4 3 2 2" xfId="15893" xr:uid="{00000000-0005-0000-0000-0000153E0000}"/>
    <cellStyle name="Normal 195 4 3 3" xfId="15894" xr:uid="{00000000-0005-0000-0000-0000163E0000}"/>
    <cellStyle name="Normal 195 4 4" xfId="15895" xr:uid="{00000000-0005-0000-0000-0000173E0000}"/>
    <cellStyle name="Normal 195 4 4 2" xfId="15896" xr:uid="{00000000-0005-0000-0000-0000183E0000}"/>
    <cellStyle name="Normal 195 4 4 2 2" xfId="15897" xr:uid="{00000000-0005-0000-0000-0000193E0000}"/>
    <cellStyle name="Normal 195 4 4 3" xfId="15898" xr:uid="{00000000-0005-0000-0000-00001A3E0000}"/>
    <cellStyle name="Normal 195 4 5" xfId="15899" xr:uid="{00000000-0005-0000-0000-00001B3E0000}"/>
    <cellStyle name="Normal 195 4 5 2" xfId="15900" xr:uid="{00000000-0005-0000-0000-00001C3E0000}"/>
    <cellStyle name="Normal 195 4 5 2 2" xfId="15901" xr:uid="{00000000-0005-0000-0000-00001D3E0000}"/>
    <cellStyle name="Normal 195 4 5 3" xfId="15902" xr:uid="{00000000-0005-0000-0000-00001E3E0000}"/>
    <cellStyle name="Normal 195 4 6" xfId="15903" xr:uid="{00000000-0005-0000-0000-00001F3E0000}"/>
    <cellStyle name="Normal 195 5" xfId="15904" xr:uid="{00000000-0005-0000-0000-0000203E0000}"/>
    <cellStyle name="Normal 195 5 2" xfId="15905" xr:uid="{00000000-0005-0000-0000-0000213E0000}"/>
    <cellStyle name="Normal 195 5 2 2" xfId="15906" xr:uid="{00000000-0005-0000-0000-0000223E0000}"/>
    <cellStyle name="Normal 195 5 3" xfId="15907" xr:uid="{00000000-0005-0000-0000-0000233E0000}"/>
    <cellStyle name="Normal 195 6" xfId="15908" xr:uid="{00000000-0005-0000-0000-0000243E0000}"/>
    <cellStyle name="Normal 195 6 2" xfId="15909" xr:uid="{00000000-0005-0000-0000-0000253E0000}"/>
    <cellStyle name="Normal 195 6 2 2" xfId="15910" xr:uid="{00000000-0005-0000-0000-0000263E0000}"/>
    <cellStyle name="Normal 195 6 3" xfId="15911" xr:uid="{00000000-0005-0000-0000-0000273E0000}"/>
    <cellStyle name="Normal 195 7" xfId="15912" xr:uid="{00000000-0005-0000-0000-0000283E0000}"/>
    <cellStyle name="Normal 195 7 2" xfId="15913" xr:uid="{00000000-0005-0000-0000-0000293E0000}"/>
    <cellStyle name="Normal 195 7 2 2" xfId="15914" xr:uid="{00000000-0005-0000-0000-00002A3E0000}"/>
    <cellStyle name="Normal 195 7 3" xfId="15915" xr:uid="{00000000-0005-0000-0000-00002B3E0000}"/>
    <cellStyle name="Normal 195 8" xfId="15916" xr:uid="{00000000-0005-0000-0000-00002C3E0000}"/>
    <cellStyle name="Normal 196" xfId="15917" xr:uid="{00000000-0005-0000-0000-00002D3E0000}"/>
    <cellStyle name="Normal 196 2" xfId="15918" xr:uid="{00000000-0005-0000-0000-00002E3E0000}"/>
    <cellStyle name="Normal 196 2 2" xfId="15919" xr:uid="{00000000-0005-0000-0000-00002F3E0000}"/>
    <cellStyle name="Normal 196 2 2 2" xfId="15920" xr:uid="{00000000-0005-0000-0000-0000303E0000}"/>
    <cellStyle name="Normal 196 2 2 2 2" xfId="15921" xr:uid="{00000000-0005-0000-0000-0000313E0000}"/>
    <cellStyle name="Normal 196 2 2 3" xfId="15922" xr:uid="{00000000-0005-0000-0000-0000323E0000}"/>
    <cellStyle name="Normal 196 2 2 3 2" xfId="15923" xr:uid="{00000000-0005-0000-0000-0000333E0000}"/>
    <cellStyle name="Normal 196 2 2 3 2 2" xfId="15924" xr:uid="{00000000-0005-0000-0000-0000343E0000}"/>
    <cellStyle name="Normal 196 2 2 3 3" xfId="15925" xr:uid="{00000000-0005-0000-0000-0000353E0000}"/>
    <cellStyle name="Normal 196 2 2 4" xfId="15926" xr:uid="{00000000-0005-0000-0000-0000363E0000}"/>
    <cellStyle name="Normal 196 2 2 4 2" xfId="15927" xr:uid="{00000000-0005-0000-0000-0000373E0000}"/>
    <cellStyle name="Normal 196 2 2 4 2 2" xfId="15928" xr:uid="{00000000-0005-0000-0000-0000383E0000}"/>
    <cellStyle name="Normal 196 2 2 4 3" xfId="15929" xr:uid="{00000000-0005-0000-0000-0000393E0000}"/>
    <cellStyle name="Normal 196 2 2 5" xfId="15930" xr:uid="{00000000-0005-0000-0000-00003A3E0000}"/>
    <cellStyle name="Normal 196 2 3" xfId="15931" xr:uid="{00000000-0005-0000-0000-00003B3E0000}"/>
    <cellStyle name="Normal 196 2 3 2" xfId="15932" xr:uid="{00000000-0005-0000-0000-00003C3E0000}"/>
    <cellStyle name="Normal 196 2 3 2 2" xfId="15933" xr:uid="{00000000-0005-0000-0000-00003D3E0000}"/>
    <cellStyle name="Normal 196 2 3 2 2 2" xfId="15934" xr:uid="{00000000-0005-0000-0000-00003E3E0000}"/>
    <cellStyle name="Normal 196 2 3 2 3" xfId="15935" xr:uid="{00000000-0005-0000-0000-00003F3E0000}"/>
    <cellStyle name="Normal 196 2 3 2 3 2" xfId="15936" xr:uid="{00000000-0005-0000-0000-0000403E0000}"/>
    <cellStyle name="Normal 196 2 3 2 3 2 2" xfId="15937" xr:uid="{00000000-0005-0000-0000-0000413E0000}"/>
    <cellStyle name="Normal 196 2 3 2 3 3" xfId="15938" xr:uid="{00000000-0005-0000-0000-0000423E0000}"/>
    <cellStyle name="Normal 196 2 3 2 4" xfId="15939" xr:uid="{00000000-0005-0000-0000-0000433E0000}"/>
    <cellStyle name="Normal 196 2 3 3" xfId="15940" xr:uid="{00000000-0005-0000-0000-0000443E0000}"/>
    <cellStyle name="Normal 196 2 3 3 2" xfId="15941" xr:uid="{00000000-0005-0000-0000-0000453E0000}"/>
    <cellStyle name="Normal 196 2 3 3 2 2" xfId="15942" xr:uid="{00000000-0005-0000-0000-0000463E0000}"/>
    <cellStyle name="Normal 196 2 3 3 3" xfId="15943" xr:uid="{00000000-0005-0000-0000-0000473E0000}"/>
    <cellStyle name="Normal 196 2 3 4" xfId="15944" xr:uid="{00000000-0005-0000-0000-0000483E0000}"/>
    <cellStyle name="Normal 196 2 3 4 2" xfId="15945" xr:uid="{00000000-0005-0000-0000-0000493E0000}"/>
    <cellStyle name="Normal 196 2 3 4 2 2" xfId="15946" xr:uid="{00000000-0005-0000-0000-00004A3E0000}"/>
    <cellStyle name="Normal 196 2 3 4 3" xfId="15947" xr:uid="{00000000-0005-0000-0000-00004B3E0000}"/>
    <cellStyle name="Normal 196 2 3 5" xfId="15948" xr:uid="{00000000-0005-0000-0000-00004C3E0000}"/>
    <cellStyle name="Normal 196 2 3 5 2" xfId="15949" xr:uid="{00000000-0005-0000-0000-00004D3E0000}"/>
    <cellStyle name="Normal 196 2 3 5 2 2" xfId="15950" xr:uid="{00000000-0005-0000-0000-00004E3E0000}"/>
    <cellStyle name="Normal 196 2 3 5 3" xfId="15951" xr:uid="{00000000-0005-0000-0000-00004F3E0000}"/>
    <cellStyle name="Normal 196 2 3 6" xfId="15952" xr:uid="{00000000-0005-0000-0000-0000503E0000}"/>
    <cellStyle name="Normal 196 2 4" xfId="15953" xr:uid="{00000000-0005-0000-0000-0000513E0000}"/>
    <cellStyle name="Normal 196 2 4 2" xfId="15954" xr:uid="{00000000-0005-0000-0000-0000523E0000}"/>
    <cellStyle name="Normal 196 2 4 2 2" xfId="15955" xr:uid="{00000000-0005-0000-0000-0000533E0000}"/>
    <cellStyle name="Normal 196 2 4 3" xfId="15956" xr:uid="{00000000-0005-0000-0000-0000543E0000}"/>
    <cellStyle name="Normal 196 2 5" xfId="15957" xr:uid="{00000000-0005-0000-0000-0000553E0000}"/>
    <cellStyle name="Normal 196 2 5 2" xfId="15958" xr:uid="{00000000-0005-0000-0000-0000563E0000}"/>
    <cellStyle name="Normal 196 2 5 2 2" xfId="15959" xr:uid="{00000000-0005-0000-0000-0000573E0000}"/>
    <cellStyle name="Normal 196 2 5 3" xfId="15960" xr:uid="{00000000-0005-0000-0000-0000583E0000}"/>
    <cellStyle name="Normal 196 2 6" xfId="15961" xr:uid="{00000000-0005-0000-0000-0000593E0000}"/>
    <cellStyle name="Normal 196 2 6 2" xfId="15962" xr:uid="{00000000-0005-0000-0000-00005A3E0000}"/>
    <cellStyle name="Normal 196 2 6 2 2" xfId="15963" xr:uid="{00000000-0005-0000-0000-00005B3E0000}"/>
    <cellStyle name="Normal 196 2 6 3" xfId="15964" xr:uid="{00000000-0005-0000-0000-00005C3E0000}"/>
    <cellStyle name="Normal 196 2 7" xfId="15965" xr:uid="{00000000-0005-0000-0000-00005D3E0000}"/>
    <cellStyle name="Normal 196 3" xfId="15966" xr:uid="{00000000-0005-0000-0000-00005E3E0000}"/>
    <cellStyle name="Normal 196 3 2" xfId="15967" xr:uid="{00000000-0005-0000-0000-00005F3E0000}"/>
    <cellStyle name="Normal 196 3 2 2" xfId="15968" xr:uid="{00000000-0005-0000-0000-0000603E0000}"/>
    <cellStyle name="Normal 196 3 3" xfId="15969" xr:uid="{00000000-0005-0000-0000-0000613E0000}"/>
    <cellStyle name="Normal 196 3 3 2" xfId="15970" xr:uid="{00000000-0005-0000-0000-0000623E0000}"/>
    <cellStyle name="Normal 196 3 3 2 2" xfId="15971" xr:uid="{00000000-0005-0000-0000-0000633E0000}"/>
    <cellStyle name="Normal 196 3 3 3" xfId="15972" xr:uid="{00000000-0005-0000-0000-0000643E0000}"/>
    <cellStyle name="Normal 196 3 4" xfId="15973" xr:uid="{00000000-0005-0000-0000-0000653E0000}"/>
    <cellStyle name="Normal 196 3 4 2" xfId="15974" xr:uid="{00000000-0005-0000-0000-0000663E0000}"/>
    <cellStyle name="Normal 196 3 4 2 2" xfId="15975" xr:uid="{00000000-0005-0000-0000-0000673E0000}"/>
    <cellStyle name="Normal 196 3 4 3" xfId="15976" xr:uid="{00000000-0005-0000-0000-0000683E0000}"/>
    <cellStyle name="Normal 196 3 5" xfId="15977" xr:uid="{00000000-0005-0000-0000-0000693E0000}"/>
    <cellStyle name="Normal 196 4" xfId="15978" xr:uid="{00000000-0005-0000-0000-00006A3E0000}"/>
    <cellStyle name="Normal 196 4 2" xfId="15979" xr:uid="{00000000-0005-0000-0000-00006B3E0000}"/>
    <cellStyle name="Normal 196 4 2 2" xfId="15980" xr:uid="{00000000-0005-0000-0000-00006C3E0000}"/>
    <cellStyle name="Normal 196 4 2 2 2" xfId="15981" xr:uid="{00000000-0005-0000-0000-00006D3E0000}"/>
    <cellStyle name="Normal 196 4 2 3" xfId="15982" xr:uid="{00000000-0005-0000-0000-00006E3E0000}"/>
    <cellStyle name="Normal 196 4 2 3 2" xfId="15983" xr:uid="{00000000-0005-0000-0000-00006F3E0000}"/>
    <cellStyle name="Normal 196 4 2 3 2 2" xfId="15984" xr:uid="{00000000-0005-0000-0000-0000703E0000}"/>
    <cellStyle name="Normal 196 4 2 3 3" xfId="15985" xr:uid="{00000000-0005-0000-0000-0000713E0000}"/>
    <cellStyle name="Normal 196 4 2 4" xfId="15986" xr:uid="{00000000-0005-0000-0000-0000723E0000}"/>
    <cellStyle name="Normal 196 4 3" xfId="15987" xr:uid="{00000000-0005-0000-0000-0000733E0000}"/>
    <cellStyle name="Normal 196 4 3 2" xfId="15988" xr:uid="{00000000-0005-0000-0000-0000743E0000}"/>
    <cellStyle name="Normal 196 4 3 2 2" xfId="15989" xr:uid="{00000000-0005-0000-0000-0000753E0000}"/>
    <cellStyle name="Normal 196 4 3 3" xfId="15990" xr:uid="{00000000-0005-0000-0000-0000763E0000}"/>
    <cellStyle name="Normal 196 4 4" xfId="15991" xr:uid="{00000000-0005-0000-0000-0000773E0000}"/>
    <cellStyle name="Normal 196 4 4 2" xfId="15992" xr:uid="{00000000-0005-0000-0000-0000783E0000}"/>
    <cellStyle name="Normal 196 4 4 2 2" xfId="15993" xr:uid="{00000000-0005-0000-0000-0000793E0000}"/>
    <cellStyle name="Normal 196 4 4 3" xfId="15994" xr:uid="{00000000-0005-0000-0000-00007A3E0000}"/>
    <cellStyle name="Normal 196 4 5" xfId="15995" xr:uid="{00000000-0005-0000-0000-00007B3E0000}"/>
    <cellStyle name="Normal 196 4 5 2" xfId="15996" xr:uid="{00000000-0005-0000-0000-00007C3E0000}"/>
    <cellStyle name="Normal 196 4 5 2 2" xfId="15997" xr:uid="{00000000-0005-0000-0000-00007D3E0000}"/>
    <cellStyle name="Normal 196 4 5 3" xfId="15998" xr:uid="{00000000-0005-0000-0000-00007E3E0000}"/>
    <cellStyle name="Normal 196 4 6" xfId="15999" xr:uid="{00000000-0005-0000-0000-00007F3E0000}"/>
    <cellStyle name="Normal 196 5" xfId="16000" xr:uid="{00000000-0005-0000-0000-0000803E0000}"/>
    <cellStyle name="Normal 196 5 2" xfId="16001" xr:uid="{00000000-0005-0000-0000-0000813E0000}"/>
    <cellStyle name="Normal 196 5 2 2" xfId="16002" xr:uid="{00000000-0005-0000-0000-0000823E0000}"/>
    <cellStyle name="Normal 196 5 3" xfId="16003" xr:uid="{00000000-0005-0000-0000-0000833E0000}"/>
    <cellStyle name="Normal 196 6" xfId="16004" xr:uid="{00000000-0005-0000-0000-0000843E0000}"/>
    <cellStyle name="Normal 196 6 2" xfId="16005" xr:uid="{00000000-0005-0000-0000-0000853E0000}"/>
    <cellStyle name="Normal 196 6 2 2" xfId="16006" xr:uid="{00000000-0005-0000-0000-0000863E0000}"/>
    <cellStyle name="Normal 196 6 3" xfId="16007" xr:uid="{00000000-0005-0000-0000-0000873E0000}"/>
    <cellStyle name="Normal 196 7" xfId="16008" xr:uid="{00000000-0005-0000-0000-0000883E0000}"/>
    <cellStyle name="Normal 196 7 2" xfId="16009" xr:uid="{00000000-0005-0000-0000-0000893E0000}"/>
    <cellStyle name="Normal 196 7 2 2" xfId="16010" xr:uid="{00000000-0005-0000-0000-00008A3E0000}"/>
    <cellStyle name="Normal 196 7 3" xfId="16011" xr:uid="{00000000-0005-0000-0000-00008B3E0000}"/>
    <cellStyle name="Normal 196 8" xfId="16012" xr:uid="{00000000-0005-0000-0000-00008C3E0000}"/>
    <cellStyle name="Normal 197" xfId="16013" xr:uid="{00000000-0005-0000-0000-00008D3E0000}"/>
    <cellStyle name="Normal 197 2" xfId="16014" xr:uid="{00000000-0005-0000-0000-00008E3E0000}"/>
    <cellStyle name="Normal 197 2 2" xfId="16015" xr:uid="{00000000-0005-0000-0000-00008F3E0000}"/>
    <cellStyle name="Normal 197 2 2 2" xfId="16016" xr:uid="{00000000-0005-0000-0000-0000903E0000}"/>
    <cellStyle name="Normal 197 2 2 2 2" xfId="16017" xr:uid="{00000000-0005-0000-0000-0000913E0000}"/>
    <cellStyle name="Normal 197 2 2 3" xfId="16018" xr:uid="{00000000-0005-0000-0000-0000923E0000}"/>
    <cellStyle name="Normal 197 2 2 3 2" xfId="16019" xr:uid="{00000000-0005-0000-0000-0000933E0000}"/>
    <cellStyle name="Normal 197 2 2 3 2 2" xfId="16020" xr:uid="{00000000-0005-0000-0000-0000943E0000}"/>
    <cellStyle name="Normal 197 2 2 3 3" xfId="16021" xr:uid="{00000000-0005-0000-0000-0000953E0000}"/>
    <cellStyle name="Normal 197 2 2 4" xfId="16022" xr:uid="{00000000-0005-0000-0000-0000963E0000}"/>
    <cellStyle name="Normal 197 2 2 4 2" xfId="16023" xr:uid="{00000000-0005-0000-0000-0000973E0000}"/>
    <cellStyle name="Normal 197 2 2 4 2 2" xfId="16024" xr:uid="{00000000-0005-0000-0000-0000983E0000}"/>
    <cellStyle name="Normal 197 2 2 4 3" xfId="16025" xr:uid="{00000000-0005-0000-0000-0000993E0000}"/>
    <cellStyle name="Normal 197 2 2 5" xfId="16026" xr:uid="{00000000-0005-0000-0000-00009A3E0000}"/>
    <cellStyle name="Normal 197 2 3" xfId="16027" xr:uid="{00000000-0005-0000-0000-00009B3E0000}"/>
    <cellStyle name="Normal 197 2 3 2" xfId="16028" xr:uid="{00000000-0005-0000-0000-00009C3E0000}"/>
    <cellStyle name="Normal 197 2 3 2 2" xfId="16029" xr:uid="{00000000-0005-0000-0000-00009D3E0000}"/>
    <cellStyle name="Normal 197 2 3 2 2 2" xfId="16030" xr:uid="{00000000-0005-0000-0000-00009E3E0000}"/>
    <cellStyle name="Normal 197 2 3 2 3" xfId="16031" xr:uid="{00000000-0005-0000-0000-00009F3E0000}"/>
    <cellStyle name="Normal 197 2 3 2 3 2" xfId="16032" xr:uid="{00000000-0005-0000-0000-0000A03E0000}"/>
    <cellStyle name="Normal 197 2 3 2 3 2 2" xfId="16033" xr:uid="{00000000-0005-0000-0000-0000A13E0000}"/>
    <cellStyle name="Normal 197 2 3 2 3 3" xfId="16034" xr:uid="{00000000-0005-0000-0000-0000A23E0000}"/>
    <cellStyle name="Normal 197 2 3 2 4" xfId="16035" xr:uid="{00000000-0005-0000-0000-0000A33E0000}"/>
    <cellStyle name="Normal 197 2 3 3" xfId="16036" xr:uid="{00000000-0005-0000-0000-0000A43E0000}"/>
    <cellStyle name="Normal 197 2 3 3 2" xfId="16037" xr:uid="{00000000-0005-0000-0000-0000A53E0000}"/>
    <cellStyle name="Normal 197 2 3 3 2 2" xfId="16038" xr:uid="{00000000-0005-0000-0000-0000A63E0000}"/>
    <cellStyle name="Normal 197 2 3 3 3" xfId="16039" xr:uid="{00000000-0005-0000-0000-0000A73E0000}"/>
    <cellStyle name="Normal 197 2 3 4" xfId="16040" xr:uid="{00000000-0005-0000-0000-0000A83E0000}"/>
    <cellStyle name="Normal 197 2 3 4 2" xfId="16041" xr:uid="{00000000-0005-0000-0000-0000A93E0000}"/>
    <cellStyle name="Normal 197 2 3 4 2 2" xfId="16042" xr:uid="{00000000-0005-0000-0000-0000AA3E0000}"/>
    <cellStyle name="Normal 197 2 3 4 3" xfId="16043" xr:uid="{00000000-0005-0000-0000-0000AB3E0000}"/>
    <cellStyle name="Normal 197 2 3 5" xfId="16044" xr:uid="{00000000-0005-0000-0000-0000AC3E0000}"/>
    <cellStyle name="Normal 197 2 3 5 2" xfId="16045" xr:uid="{00000000-0005-0000-0000-0000AD3E0000}"/>
    <cellStyle name="Normal 197 2 3 5 2 2" xfId="16046" xr:uid="{00000000-0005-0000-0000-0000AE3E0000}"/>
    <cellStyle name="Normal 197 2 3 5 3" xfId="16047" xr:uid="{00000000-0005-0000-0000-0000AF3E0000}"/>
    <cellStyle name="Normal 197 2 3 6" xfId="16048" xr:uid="{00000000-0005-0000-0000-0000B03E0000}"/>
    <cellStyle name="Normal 197 2 4" xfId="16049" xr:uid="{00000000-0005-0000-0000-0000B13E0000}"/>
    <cellStyle name="Normal 197 2 4 2" xfId="16050" xr:uid="{00000000-0005-0000-0000-0000B23E0000}"/>
    <cellStyle name="Normal 197 2 4 2 2" xfId="16051" xr:uid="{00000000-0005-0000-0000-0000B33E0000}"/>
    <cellStyle name="Normal 197 2 4 3" xfId="16052" xr:uid="{00000000-0005-0000-0000-0000B43E0000}"/>
    <cellStyle name="Normal 197 2 5" xfId="16053" xr:uid="{00000000-0005-0000-0000-0000B53E0000}"/>
    <cellStyle name="Normal 197 2 5 2" xfId="16054" xr:uid="{00000000-0005-0000-0000-0000B63E0000}"/>
    <cellStyle name="Normal 197 2 5 2 2" xfId="16055" xr:uid="{00000000-0005-0000-0000-0000B73E0000}"/>
    <cellStyle name="Normal 197 2 5 3" xfId="16056" xr:uid="{00000000-0005-0000-0000-0000B83E0000}"/>
    <cellStyle name="Normal 197 2 6" xfId="16057" xr:uid="{00000000-0005-0000-0000-0000B93E0000}"/>
    <cellStyle name="Normal 197 2 6 2" xfId="16058" xr:uid="{00000000-0005-0000-0000-0000BA3E0000}"/>
    <cellStyle name="Normal 197 2 6 2 2" xfId="16059" xr:uid="{00000000-0005-0000-0000-0000BB3E0000}"/>
    <cellStyle name="Normal 197 2 6 3" xfId="16060" xr:uid="{00000000-0005-0000-0000-0000BC3E0000}"/>
    <cellStyle name="Normal 197 2 7" xfId="16061" xr:uid="{00000000-0005-0000-0000-0000BD3E0000}"/>
    <cellStyle name="Normal 197 3" xfId="16062" xr:uid="{00000000-0005-0000-0000-0000BE3E0000}"/>
    <cellStyle name="Normal 197 3 2" xfId="16063" xr:uid="{00000000-0005-0000-0000-0000BF3E0000}"/>
    <cellStyle name="Normal 197 3 2 2" xfId="16064" xr:uid="{00000000-0005-0000-0000-0000C03E0000}"/>
    <cellStyle name="Normal 197 3 3" xfId="16065" xr:uid="{00000000-0005-0000-0000-0000C13E0000}"/>
    <cellStyle name="Normal 197 3 3 2" xfId="16066" xr:uid="{00000000-0005-0000-0000-0000C23E0000}"/>
    <cellStyle name="Normal 197 3 3 2 2" xfId="16067" xr:uid="{00000000-0005-0000-0000-0000C33E0000}"/>
    <cellStyle name="Normal 197 3 3 3" xfId="16068" xr:uid="{00000000-0005-0000-0000-0000C43E0000}"/>
    <cellStyle name="Normal 197 3 4" xfId="16069" xr:uid="{00000000-0005-0000-0000-0000C53E0000}"/>
    <cellStyle name="Normal 197 3 4 2" xfId="16070" xr:uid="{00000000-0005-0000-0000-0000C63E0000}"/>
    <cellStyle name="Normal 197 3 4 2 2" xfId="16071" xr:uid="{00000000-0005-0000-0000-0000C73E0000}"/>
    <cellStyle name="Normal 197 3 4 3" xfId="16072" xr:uid="{00000000-0005-0000-0000-0000C83E0000}"/>
    <cellStyle name="Normal 197 3 5" xfId="16073" xr:uid="{00000000-0005-0000-0000-0000C93E0000}"/>
    <cellStyle name="Normal 197 4" xfId="16074" xr:uid="{00000000-0005-0000-0000-0000CA3E0000}"/>
    <cellStyle name="Normal 197 4 2" xfId="16075" xr:uid="{00000000-0005-0000-0000-0000CB3E0000}"/>
    <cellStyle name="Normal 197 4 2 2" xfId="16076" xr:uid="{00000000-0005-0000-0000-0000CC3E0000}"/>
    <cellStyle name="Normal 197 4 2 2 2" xfId="16077" xr:uid="{00000000-0005-0000-0000-0000CD3E0000}"/>
    <cellStyle name="Normal 197 4 2 3" xfId="16078" xr:uid="{00000000-0005-0000-0000-0000CE3E0000}"/>
    <cellStyle name="Normal 197 4 2 3 2" xfId="16079" xr:uid="{00000000-0005-0000-0000-0000CF3E0000}"/>
    <cellStyle name="Normal 197 4 2 3 2 2" xfId="16080" xr:uid="{00000000-0005-0000-0000-0000D03E0000}"/>
    <cellStyle name="Normal 197 4 2 3 3" xfId="16081" xr:uid="{00000000-0005-0000-0000-0000D13E0000}"/>
    <cellStyle name="Normal 197 4 2 4" xfId="16082" xr:uid="{00000000-0005-0000-0000-0000D23E0000}"/>
    <cellStyle name="Normal 197 4 3" xfId="16083" xr:uid="{00000000-0005-0000-0000-0000D33E0000}"/>
    <cellStyle name="Normal 197 4 3 2" xfId="16084" xr:uid="{00000000-0005-0000-0000-0000D43E0000}"/>
    <cellStyle name="Normal 197 4 3 2 2" xfId="16085" xr:uid="{00000000-0005-0000-0000-0000D53E0000}"/>
    <cellStyle name="Normal 197 4 3 3" xfId="16086" xr:uid="{00000000-0005-0000-0000-0000D63E0000}"/>
    <cellStyle name="Normal 197 4 4" xfId="16087" xr:uid="{00000000-0005-0000-0000-0000D73E0000}"/>
    <cellStyle name="Normal 197 4 4 2" xfId="16088" xr:uid="{00000000-0005-0000-0000-0000D83E0000}"/>
    <cellStyle name="Normal 197 4 4 2 2" xfId="16089" xr:uid="{00000000-0005-0000-0000-0000D93E0000}"/>
    <cellStyle name="Normal 197 4 4 3" xfId="16090" xr:uid="{00000000-0005-0000-0000-0000DA3E0000}"/>
    <cellStyle name="Normal 197 4 5" xfId="16091" xr:uid="{00000000-0005-0000-0000-0000DB3E0000}"/>
    <cellStyle name="Normal 197 4 5 2" xfId="16092" xr:uid="{00000000-0005-0000-0000-0000DC3E0000}"/>
    <cellStyle name="Normal 197 4 5 2 2" xfId="16093" xr:uid="{00000000-0005-0000-0000-0000DD3E0000}"/>
    <cellStyle name="Normal 197 4 5 3" xfId="16094" xr:uid="{00000000-0005-0000-0000-0000DE3E0000}"/>
    <cellStyle name="Normal 197 4 6" xfId="16095" xr:uid="{00000000-0005-0000-0000-0000DF3E0000}"/>
    <cellStyle name="Normal 197 5" xfId="16096" xr:uid="{00000000-0005-0000-0000-0000E03E0000}"/>
    <cellStyle name="Normal 197 5 2" xfId="16097" xr:uid="{00000000-0005-0000-0000-0000E13E0000}"/>
    <cellStyle name="Normal 197 5 2 2" xfId="16098" xr:uid="{00000000-0005-0000-0000-0000E23E0000}"/>
    <cellStyle name="Normal 197 5 3" xfId="16099" xr:uid="{00000000-0005-0000-0000-0000E33E0000}"/>
    <cellStyle name="Normal 197 6" xfId="16100" xr:uid="{00000000-0005-0000-0000-0000E43E0000}"/>
    <cellStyle name="Normal 197 6 2" xfId="16101" xr:uid="{00000000-0005-0000-0000-0000E53E0000}"/>
    <cellStyle name="Normal 197 6 2 2" xfId="16102" xr:uid="{00000000-0005-0000-0000-0000E63E0000}"/>
    <cellStyle name="Normal 197 6 3" xfId="16103" xr:uid="{00000000-0005-0000-0000-0000E73E0000}"/>
    <cellStyle name="Normal 197 7" xfId="16104" xr:uid="{00000000-0005-0000-0000-0000E83E0000}"/>
    <cellStyle name="Normal 197 7 2" xfId="16105" xr:uid="{00000000-0005-0000-0000-0000E93E0000}"/>
    <cellStyle name="Normal 197 7 2 2" xfId="16106" xr:uid="{00000000-0005-0000-0000-0000EA3E0000}"/>
    <cellStyle name="Normal 197 7 3" xfId="16107" xr:uid="{00000000-0005-0000-0000-0000EB3E0000}"/>
    <cellStyle name="Normal 197 8" xfId="16108" xr:uid="{00000000-0005-0000-0000-0000EC3E0000}"/>
    <cellStyle name="Normal 198" xfId="16109" xr:uid="{00000000-0005-0000-0000-0000ED3E0000}"/>
    <cellStyle name="Normal 198 2" xfId="16110" xr:uid="{00000000-0005-0000-0000-0000EE3E0000}"/>
    <cellStyle name="Normal 198 2 2" xfId="16111" xr:uid="{00000000-0005-0000-0000-0000EF3E0000}"/>
    <cellStyle name="Normal 198 2 2 2" xfId="16112" xr:uid="{00000000-0005-0000-0000-0000F03E0000}"/>
    <cellStyle name="Normal 198 2 2 2 2" xfId="16113" xr:uid="{00000000-0005-0000-0000-0000F13E0000}"/>
    <cellStyle name="Normal 198 2 2 3" xfId="16114" xr:uid="{00000000-0005-0000-0000-0000F23E0000}"/>
    <cellStyle name="Normal 198 2 2 3 2" xfId="16115" xr:uid="{00000000-0005-0000-0000-0000F33E0000}"/>
    <cellStyle name="Normal 198 2 2 3 2 2" xfId="16116" xr:uid="{00000000-0005-0000-0000-0000F43E0000}"/>
    <cellStyle name="Normal 198 2 2 3 3" xfId="16117" xr:uid="{00000000-0005-0000-0000-0000F53E0000}"/>
    <cellStyle name="Normal 198 2 2 4" xfId="16118" xr:uid="{00000000-0005-0000-0000-0000F63E0000}"/>
    <cellStyle name="Normal 198 2 2 4 2" xfId="16119" xr:uid="{00000000-0005-0000-0000-0000F73E0000}"/>
    <cellStyle name="Normal 198 2 2 4 2 2" xfId="16120" xr:uid="{00000000-0005-0000-0000-0000F83E0000}"/>
    <cellStyle name="Normal 198 2 2 4 3" xfId="16121" xr:uid="{00000000-0005-0000-0000-0000F93E0000}"/>
    <cellStyle name="Normal 198 2 2 5" xfId="16122" xr:uid="{00000000-0005-0000-0000-0000FA3E0000}"/>
    <cellStyle name="Normal 198 2 3" xfId="16123" xr:uid="{00000000-0005-0000-0000-0000FB3E0000}"/>
    <cellStyle name="Normal 198 2 3 2" xfId="16124" xr:uid="{00000000-0005-0000-0000-0000FC3E0000}"/>
    <cellStyle name="Normal 198 2 3 2 2" xfId="16125" xr:uid="{00000000-0005-0000-0000-0000FD3E0000}"/>
    <cellStyle name="Normal 198 2 3 2 2 2" xfId="16126" xr:uid="{00000000-0005-0000-0000-0000FE3E0000}"/>
    <cellStyle name="Normal 198 2 3 2 3" xfId="16127" xr:uid="{00000000-0005-0000-0000-0000FF3E0000}"/>
    <cellStyle name="Normal 198 2 3 2 3 2" xfId="16128" xr:uid="{00000000-0005-0000-0000-0000003F0000}"/>
    <cellStyle name="Normal 198 2 3 2 3 2 2" xfId="16129" xr:uid="{00000000-0005-0000-0000-0000013F0000}"/>
    <cellStyle name="Normal 198 2 3 2 3 3" xfId="16130" xr:uid="{00000000-0005-0000-0000-0000023F0000}"/>
    <cellStyle name="Normal 198 2 3 2 4" xfId="16131" xr:uid="{00000000-0005-0000-0000-0000033F0000}"/>
    <cellStyle name="Normal 198 2 3 3" xfId="16132" xr:uid="{00000000-0005-0000-0000-0000043F0000}"/>
    <cellStyle name="Normal 198 2 3 3 2" xfId="16133" xr:uid="{00000000-0005-0000-0000-0000053F0000}"/>
    <cellStyle name="Normal 198 2 3 3 2 2" xfId="16134" xr:uid="{00000000-0005-0000-0000-0000063F0000}"/>
    <cellStyle name="Normal 198 2 3 3 3" xfId="16135" xr:uid="{00000000-0005-0000-0000-0000073F0000}"/>
    <cellStyle name="Normal 198 2 3 4" xfId="16136" xr:uid="{00000000-0005-0000-0000-0000083F0000}"/>
    <cellStyle name="Normal 198 2 3 4 2" xfId="16137" xr:uid="{00000000-0005-0000-0000-0000093F0000}"/>
    <cellStyle name="Normal 198 2 3 4 2 2" xfId="16138" xr:uid="{00000000-0005-0000-0000-00000A3F0000}"/>
    <cellStyle name="Normal 198 2 3 4 3" xfId="16139" xr:uid="{00000000-0005-0000-0000-00000B3F0000}"/>
    <cellStyle name="Normal 198 2 3 5" xfId="16140" xr:uid="{00000000-0005-0000-0000-00000C3F0000}"/>
    <cellStyle name="Normal 198 2 3 5 2" xfId="16141" xr:uid="{00000000-0005-0000-0000-00000D3F0000}"/>
    <cellStyle name="Normal 198 2 3 5 2 2" xfId="16142" xr:uid="{00000000-0005-0000-0000-00000E3F0000}"/>
    <cellStyle name="Normal 198 2 3 5 3" xfId="16143" xr:uid="{00000000-0005-0000-0000-00000F3F0000}"/>
    <cellStyle name="Normal 198 2 3 6" xfId="16144" xr:uid="{00000000-0005-0000-0000-0000103F0000}"/>
    <cellStyle name="Normal 198 2 4" xfId="16145" xr:uid="{00000000-0005-0000-0000-0000113F0000}"/>
    <cellStyle name="Normal 198 2 4 2" xfId="16146" xr:uid="{00000000-0005-0000-0000-0000123F0000}"/>
    <cellStyle name="Normal 198 2 4 2 2" xfId="16147" xr:uid="{00000000-0005-0000-0000-0000133F0000}"/>
    <cellStyle name="Normal 198 2 4 3" xfId="16148" xr:uid="{00000000-0005-0000-0000-0000143F0000}"/>
    <cellStyle name="Normal 198 2 5" xfId="16149" xr:uid="{00000000-0005-0000-0000-0000153F0000}"/>
    <cellStyle name="Normal 198 2 5 2" xfId="16150" xr:uid="{00000000-0005-0000-0000-0000163F0000}"/>
    <cellStyle name="Normal 198 2 5 2 2" xfId="16151" xr:uid="{00000000-0005-0000-0000-0000173F0000}"/>
    <cellStyle name="Normal 198 2 5 3" xfId="16152" xr:uid="{00000000-0005-0000-0000-0000183F0000}"/>
    <cellStyle name="Normal 198 2 6" xfId="16153" xr:uid="{00000000-0005-0000-0000-0000193F0000}"/>
    <cellStyle name="Normal 198 2 6 2" xfId="16154" xr:uid="{00000000-0005-0000-0000-00001A3F0000}"/>
    <cellStyle name="Normal 198 2 6 2 2" xfId="16155" xr:uid="{00000000-0005-0000-0000-00001B3F0000}"/>
    <cellStyle name="Normal 198 2 6 3" xfId="16156" xr:uid="{00000000-0005-0000-0000-00001C3F0000}"/>
    <cellStyle name="Normal 198 2 7" xfId="16157" xr:uid="{00000000-0005-0000-0000-00001D3F0000}"/>
    <cellStyle name="Normal 198 3" xfId="16158" xr:uid="{00000000-0005-0000-0000-00001E3F0000}"/>
    <cellStyle name="Normal 198 3 2" xfId="16159" xr:uid="{00000000-0005-0000-0000-00001F3F0000}"/>
    <cellStyle name="Normal 198 3 2 2" xfId="16160" xr:uid="{00000000-0005-0000-0000-0000203F0000}"/>
    <cellStyle name="Normal 198 3 3" xfId="16161" xr:uid="{00000000-0005-0000-0000-0000213F0000}"/>
    <cellStyle name="Normal 198 3 3 2" xfId="16162" xr:uid="{00000000-0005-0000-0000-0000223F0000}"/>
    <cellStyle name="Normal 198 3 3 2 2" xfId="16163" xr:uid="{00000000-0005-0000-0000-0000233F0000}"/>
    <cellStyle name="Normal 198 3 3 3" xfId="16164" xr:uid="{00000000-0005-0000-0000-0000243F0000}"/>
    <cellStyle name="Normal 198 3 4" xfId="16165" xr:uid="{00000000-0005-0000-0000-0000253F0000}"/>
    <cellStyle name="Normal 198 3 4 2" xfId="16166" xr:uid="{00000000-0005-0000-0000-0000263F0000}"/>
    <cellStyle name="Normal 198 3 4 2 2" xfId="16167" xr:uid="{00000000-0005-0000-0000-0000273F0000}"/>
    <cellStyle name="Normal 198 3 4 3" xfId="16168" xr:uid="{00000000-0005-0000-0000-0000283F0000}"/>
    <cellStyle name="Normal 198 3 5" xfId="16169" xr:uid="{00000000-0005-0000-0000-0000293F0000}"/>
    <cellStyle name="Normal 198 4" xfId="16170" xr:uid="{00000000-0005-0000-0000-00002A3F0000}"/>
    <cellStyle name="Normal 198 4 2" xfId="16171" xr:uid="{00000000-0005-0000-0000-00002B3F0000}"/>
    <cellStyle name="Normal 198 4 2 2" xfId="16172" xr:uid="{00000000-0005-0000-0000-00002C3F0000}"/>
    <cellStyle name="Normal 198 4 2 2 2" xfId="16173" xr:uid="{00000000-0005-0000-0000-00002D3F0000}"/>
    <cellStyle name="Normal 198 4 2 3" xfId="16174" xr:uid="{00000000-0005-0000-0000-00002E3F0000}"/>
    <cellStyle name="Normal 198 4 2 3 2" xfId="16175" xr:uid="{00000000-0005-0000-0000-00002F3F0000}"/>
    <cellStyle name="Normal 198 4 2 3 2 2" xfId="16176" xr:uid="{00000000-0005-0000-0000-0000303F0000}"/>
    <cellStyle name="Normal 198 4 2 3 3" xfId="16177" xr:uid="{00000000-0005-0000-0000-0000313F0000}"/>
    <cellStyle name="Normal 198 4 2 4" xfId="16178" xr:uid="{00000000-0005-0000-0000-0000323F0000}"/>
    <cellStyle name="Normal 198 4 3" xfId="16179" xr:uid="{00000000-0005-0000-0000-0000333F0000}"/>
    <cellStyle name="Normal 198 4 3 2" xfId="16180" xr:uid="{00000000-0005-0000-0000-0000343F0000}"/>
    <cellStyle name="Normal 198 4 3 2 2" xfId="16181" xr:uid="{00000000-0005-0000-0000-0000353F0000}"/>
    <cellStyle name="Normal 198 4 3 3" xfId="16182" xr:uid="{00000000-0005-0000-0000-0000363F0000}"/>
    <cellStyle name="Normal 198 4 4" xfId="16183" xr:uid="{00000000-0005-0000-0000-0000373F0000}"/>
    <cellStyle name="Normal 198 4 4 2" xfId="16184" xr:uid="{00000000-0005-0000-0000-0000383F0000}"/>
    <cellStyle name="Normal 198 4 4 2 2" xfId="16185" xr:uid="{00000000-0005-0000-0000-0000393F0000}"/>
    <cellStyle name="Normal 198 4 4 3" xfId="16186" xr:uid="{00000000-0005-0000-0000-00003A3F0000}"/>
    <cellStyle name="Normal 198 4 5" xfId="16187" xr:uid="{00000000-0005-0000-0000-00003B3F0000}"/>
    <cellStyle name="Normal 198 4 5 2" xfId="16188" xr:uid="{00000000-0005-0000-0000-00003C3F0000}"/>
    <cellStyle name="Normal 198 4 5 2 2" xfId="16189" xr:uid="{00000000-0005-0000-0000-00003D3F0000}"/>
    <cellStyle name="Normal 198 4 5 3" xfId="16190" xr:uid="{00000000-0005-0000-0000-00003E3F0000}"/>
    <cellStyle name="Normal 198 4 6" xfId="16191" xr:uid="{00000000-0005-0000-0000-00003F3F0000}"/>
    <cellStyle name="Normal 198 5" xfId="16192" xr:uid="{00000000-0005-0000-0000-0000403F0000}"/>
    <cellStyle name="Normal 198 5 2" xfId="16193" xr:uid="{00000000-0005-0000-0000-0000413F0000}"/>
    <cellStyle name="Normal 198 5 2 2" xfId="16194" xr:uid="{00000000-0005-0000-0000-0000423F0000}"/>
    <cellStyle name="Normal 198 5 3" xfId="16195" xr:uid="{00000000-0005-0000-0000-0000433F0000}"/>
    <cellStyle name="Normal 198 6" xfId="16196" xr:uid="{00000000-0005-0000-0000-0000443F0000}"/>
    <cellStyle name="Normal 198 6 2" xfId="16197" xr:uid="{00000000-0005-0000-0000-0000453F0000}"/>
    <cellStyle name="Normal 198 6 2 2" xfId="16198" xr:uid="{00000000-0005-0000-0000-0000463F0000}"/>
    <cellStyle name="Normal 198 6 3" xfId="16199" xr:uid="{00000000-0005-0000-0000-0000473F0000}"/>
    <cellStyle name="Normal 198 7" xfId="16200" xr:uid="{00000000-0005-0000-0000-0000483F0000}"/>
    <cellStyle name="Normal 198 7 2" xfId="16201" xr:uid="{00000000-0005-0000-0000-0000493F0000}"/>
    <cellStyle name="Normal 198 7 2 2" xfId="16202" xr:uid="{00000000-0005-0000-0000-00004A3F0000}"/>
    <cellStyle name="Normal 198 7 3" xfId="16203" xr:uid="{00000000-0005-0000-0000-00004B3F0000}"/>
    <cellStyle name="Normal 198 8" xfId="16204" xr:uid="{00000000-0005-0000-0000-00004C3F0000}"/>
    <cellStyle name="Normal 199" xfId="16205" xr:uid="{00000000-0005-0000-0000-00004D3F0000}"/>
    <cellStyle name="Normal 199 2" xfId="16206" xr:uid="{00000000-0005-0000-0000-00004E3F0000}"/>
    <cellStyle name="Normal 199 2 2" xfId="16207" xr:uid="{00000000-0005-0000-0000-00004F3F0000}"/>
    <cellStyle name="Normal 199 2 2 2" xfId="16208" xr:uid="{00000000-0005-0000-0000-0000503F0000}"/>
    <cellStyle name="Normal 199 2 2 2 2" xfId="16209" xr:uid="{00000000-0005-0000-0000-0000513F0000}"/>
    <cellStyle name="Normal 199 2 2 3" xfId="16210" xr:uid="{00000000-0005-0000-0000-0000523F0000}"/>
    <cellStyle name="Normal 199 2 2 3 2" xfId="16211" xr:uid="{00000000-0005-0000-0000-0000533F0000}"/>
    <cellStyle name="Normal 199 2 2 3 2 2" xfId="16212" xr:uid="{00000000-0005-0000-0000-0000543F0000}"/>
    <cellStyle name="Normal 199 2 2 3 3" xfId="16213" xr:uid="{00000000-0005-0000-0000-0000553F0000}"/>
    <cellStyle name="Normal 199 2 2 4" xfId="16214" xr:uid="{00000000-0005-0000-0000-0000563F0000}"/>
    <cellStyle name="Normal 199 2 2 4 2" xfId="16215" xr:uid="{00000000-0005-0000-0000-0000573F0000}"/>
    <cellStyle name="Normal 199 2 2 4 2 2" xfId="16216" xr:uid="{00000000-0005-0000-0000-0000583F0000}"/>
    <cellStyle name="Normal 199 2 2 4 3" xfId="16217" xr:uid="{00000000-0005-0000-0000-0000593F0000}"/>
    <cellStyle name="Normal 199 2 2 5" xfId="16218" xr:uid="{00000000-0005-0000-0000-00005A3F0000}"/>
    <cellStyle name="Normal 199 2 3" xfId="16219" xr:uid="{00000000-0005-0000-0000-00005B3F0000}"/>
    <cellStyle name="Normal 199 2 3 2" xfId="16220" xr:uid="{00000000-0005-0000-0000-00005C3F0000}"/>
    <cellStyle name="Normal 199 2 3 2 2" xfId="16221" xr:uid="{00000000-0005-0000-0000-00005D3F0000}"/>
    <cellStyle name="Normal 199 2 3 2 2 2" xfId="16222" xr:uid="{00000000-0005-0000-0000-00005E3F0000}"/>
    <cellStyle name="Normal 199 2 3 2 3" xfId="16223" xr:uid="{00000000-0005-0000-0000-00005F3F0000}"/>
    <cellStyle name="Normal 199 2 3 2 3 2" xfId="16224" xr:uid="{00000000-0005-0000-0000-0000603F0000}"/>
    <cellStyle name="Normal 199 2 3 2 3 2 2" xfId="16225" xr:uid="{00000000-0005-0000-0000-0000613F0000}"/>
    <cellStyle name="Normal 199 2 3 2 3 3" xfId="16226" xr:uid="{00000000-0005-0000-0000-0000623F0000}"/>
    <cellStyle name="Normal 199 2 3 2 4" xfId="16227" xr:uid="{00000000-0005-0000-0000-0000633F0000}"/>
    <cellStyle name="Normal 199 2 3 3" xfId="16228" xr:uid="{00000000-0005-0000-0000-0000643F0000}"/>
    <cellStyle name="Normal 199 2 3 3 2" xfId="16229" xr:uid="{00000000-0005-0000-0000-0000653F0000}"/>
    <cellStyle name="Normal 199 2 3 3 2 2" xfId="16230" xr:uid="{00000000-0005-0000-0000-0000663F0000}"/>
    <cellStyle name="Normal 199 2 3 3 3" xfId="16231" xr:uid="{00000000-0005-0000-0000-0000673F0000}"/>
    <cellStyle name="Normal 199 2 3 4" xfId="16232" xr:uid="{00000000-0005-0000-0000-0000683F0000}"/>
    <cellStyle name="Normal 199 2 3 4 2" xfId="16233" xr:uid="{00000000-0005-0000-0000-0000693F0000}"/>
    <cellStyle name="Normal 199 2 3 4 2 2" xfId="16234" xr:uid="{00000000-0005-0000-0000-00006A3F0000}"/>
    <cellStyle name="Normal 199 2 3 4 3" xfId="16235" xr:uid="{00000000-0005-0000-0000-00006B3F0000}"/>
    <cellStyle name="Normal 199 2 3 5" xfId="16236" xr:uid="{00000000-0005-0000-0000-00006C3F0000}"/>
    <cellStyle name="Normal 199 2 3 5 2" xfId="16237" xr:uid="{00000000-0005-0000-0000-00006D3F0000}"/>
    <cellStyle name="Normal 199 2 3 5 2 2" xfId="16238" xr:uid="{00000000-0005-0000-0000-00006E3F0000}"/>
    <cellStyle name="Normal 199 2 3 5 3" xfId="16239" xr:uid="{00000000-0005-0000-0000-00006F3F0000}"/>
    <cellStyle name="Normal 199 2 3 6" xfId="16240" xr:uid="{00000000-0005-0000-0000-0000703F0000}"/>
    <cellStyle name="Normal 199 2 4" xfId="16241" xr:uid="{00000000-0005-0000-0000-0000713F0000}"/>
    <cellStyle name="Normal 199 2 4 2" xfId="16242" xr:uid="{00000000-0005-0000-0000-0000723F0000}"/>
    <cellStyle name="Normal 199 2 4 2 2" xfId="16243" xr:uid="{00000000-0005-0000-0000-0000733F0000}"/>
    <cellStyle name="Normal 199 2 4 3" xfId="16244" xr:uid="{00000000-0005-0000-0000-0000743F0000}"/>
    <cellStyle name="Normal 199 2 5" xfId="16245" xr:uid="{00000000-0005-0000-0000-0000753F0000}"/>
    <cellStyle name="Normal 199 2 5 2" xfId="16246" xr:uid="{00000000-0005-0000-0000-0000763F0000}"/>
    <cellStyle name="Normal 199 2 5 2 2" xfId="16247" xr:uid="{00000000-0005-0000-0000-0000773F0000}"/>
    <cellStyle name="Normal 199 2 5 3" xfId="16248" xr:uid="{00000000-0005-0000-0000-0000783F0000}"/>
    <cellStyle name="Normal 199 2 6" xfId="16249" xr:uid="{00000000-0005-0000-0000-0000793F0000}"/>
    <cellStyle name="Normal 199 2 6 2" xfId="16250" xr:uid="{00000000-0005-0000-0000-00007A3F0000}"/>
    <cellStyle name="Normal 199 2 6 2 2" xfId="16251" xr:uid="{00000000-0005-0000-0000-00007B3F0000}"/>
    <cellStyle name="Normal 199 2 6 3" xfId="16252" xr:uid="{00000000-0005-0000-0000-00007C3F0000}"/>
    <cellStyle name="Normal 199 2 7" xfId="16253" xr:uid="{00000000-0005-0000-0000-00007D3F0000}"/>
    <cellStyle name="Normal 199 3" xfId="16254" xr:uid="{00000000-0005-0000-0000-00007E3F0000}"/>
    <cellStyle name="Normal 199 3 2" xfId="16255" xr:uid="{00000000-0005-0000-0000-00007F3F0000}"/>
    <cellStyle name="Normal 199 3 2 2" xfId="16256" xr:uid="{00000000-0005-0000-0000-0000803F0000}"/>
    <cellStyle name="Normal 199 3 3" xfId="16257" xr:uid="{00000000-0005-0000-0000-0000813F0000}"/>
    <cellStyle name="Normal 199 3 3 2" xfId="16258" xr:uid="{00000000-0005-0000-0000-0000823F0000}"/>
    <cellStyle name="Normal 199 3 3 2 2" xfId="16259" xr:uid="{00000000-0005-0000-0000-0000833F0000}"/>
    <cellStyle name="Normal 199 3 3 3" xfId="16260" xr:uid="{00000000-0005-0000-0000-0000843F0000}"/>
    <cellStyle name="Normal 199 3 4" xfId="16261" xr:uid="{00000000-0005-0000-0000-0000853F0000}"/>
    <cellStyle name="Normal 199 3 4 2" xfId="16262" xr:uid="{00000000-0005-0000-0000-0000863F0000}"/>
    <cellStyle name="Normal 199 3 4 2 2" xfId="16263" xr:uid="{00000000-0005-0000-0000-0000873F0000}"/>
    <cellStyle name="Normal 199 3 4 3" xfId="16264" xr:uid="{00000000-0005-0000-0000-0000883F0000}"/>
    <cellStyle name="Normal 199 3 5" xfId="16265" xr:uid="{00000000-0005-0000-0000-0000893F0000}"/>
    <cellStyle name="Normal 199 4" xfId="16266" xr:uid="{00000000-0005-0000-0000-00008A3F0000}"/>
    <cellStyle name="Normal 199 4 2" xfId="16267" xr:uid="{00000000-0005-0000-0000-00008B3F0000}"/>
    <cellStyle name="Normal 199 4 2 2" xfId="16268" xr:uid="{00000000-0005-0000-0000-00008C3F0000}"/>
    <cellStyle name="Normal 199 4 2 2 2" xfId="16269" xr:uid="{00000000-0005-0000-0000-00008D3F0000}"/>
    <cellStyle name="Normal 199 4 2 3" xfId="16270" xr:uid="{00000000-0005-0000-0000-00008E3F0000}"/>
    <cellStyle name="Normal 199 4 2 3 2" xfId="16271" xr:uid="{00000000-0005-0000-0000-00008F3F0000}"/>
    <cellStyle name="Normal 199 4 2 3 2 2" xfId="16272" xr:uid="{00000000-0005-0000-0000-0000903F0000}"/>
    <cellStyle name="Normal 199 4 2 3 3" xfId="16273" xr:uid="{00000000-0005-0000-0000-0000913F0000}"/>
    <cellStyle name="Normal 199 4 2 4" xfId="16274" xr:uid="{00000000-0005-0000-0000-0000923F0000}"/>
    <cellStyle name="Normal 199 4 3" xfId="16275" xr:uid="{00000000-0005-0000-0000-0000933F0000}"/>
    <cellStyle name="Normal 199 4 3 2" xfId="16276" xr:uid="{00000000-0005-0000-0000-0000943F0000}"/>
    <cellStyle name="Normal 199 4 3 2 2" xfId="16277" xr:uid="{00000000-0005-0000-0000-0000953F0000}"/>
    <cellStyle name="Normal 199 4 3 3" xfId="16278" xr:uid="{00000000-0005-0000-0000-0000963F0000}"/>
    <cellStyle name="Normal 199 4 4" xfId="16279" xr:uid="{00000000-0005-0000-0000-0000973F0000}"/>
    <cellStyle name="Normal 199 4 4 2" xfId="16280" xr:uid="{00000000-0005-0000-0000-0000983F0000}"/>
    <cellStyle name="Normal 199 4 4 2 2" xfId="16281" xr:uid="{00000000-0005-0000-0000-0000993F0000}"/>
    <cellStyle name="Normal 199 4 4 3" xfId="16282" xr:uid="{00000000-0005-0000-0000-00009A3F0000}"/>
    <cellStyle name="Normal 199 4 5" xfId="16283" xr:uid="{00000000-0005-0000-0000-00009B3F0000}"/>
    <cellStyle name="Normal 199 4 5 2" xfId="16284" xr:uid="{00000000-0005-0000-0000-00009C3F0000}"/>
    <cellStyle name="Normal 199 4 5 2 2" xfId="16285" xr:uid="{00000000-0005-0000-0000-00009D3F0000}"/>
    <cellStyle name="Normal 199 4 5 3" xfId="16286" xr:uid="{00000000-0005-0000-0000-00009E3F0000}"/>
    <cellStyle name="Normal 199 4 6" xfId="16287" xr:uid="{00000000-0005-0000-0000-00009F3F0000}"/>
    <cellStyle name="Normal 199 5" xfId="16288" xr:uid="{00000000-0005-0000-0000-0000A03F0000}"/>
    <cellStyle name="Normal 199 5 2" xfId="16289" xr:uid="{00000000-0005-0000-0000-0000A13F0000}"/>
    <cellStyle name="Normal 199 5 2 2" xfId="16290" xr:uid="{00000000-0005-0000-0000-0000A23F0000}"/>
    <cellStyle name="Normal 199 5 3" xfId="16291" xr:uid="{00000000-0005-0000-0000-0000A33F0000}"/>
    <cellStyle name="Normal 199 6" xfId="16292" xr:uid="{00000000-0005-0000-0000-0000A43F0000}"/>
    <cellStyle name="Normal 199 6 2" xfId="16293" xr:uid="{00000000-0005-0000-0000-0000A53F0000}"/>
    <cellStyle name="Normal 199 6 2 2" xfId="16294" xr:uid="{00000000-0005-0000-0000-0000A63F0000}"/>
    <cellStyle name="Normal 199 6 3" xfId="16295" xr:uid="{00000000-0005-0000-0000-0000A73F0000}"/>
    <cellStyle name="Normal 199 7" xfId="16296" xr:uid="{00000000-0005-0000-0000-0000A83F0000}"/>
    <cellStyle name="Normal 199 7 2" xfId="16297" xr:uid="{00000000-0005-0000-0000-0000A93F0000}"/>
    <cellStyle name="Normal 199 7 2 2" xfId="16298" xr:uid="{00000000-0005-0000-0000-0000AA3F0000}"/>
    <cellStyle name="Normal 199 7 3" xfId="16299" xr:uid="{00000000-0005-0000-0000-0000AB3F0000}"/>
    <cellStyle name="Normal 199 8" xfId="16300" xr:uid="{00000000-0005-0000-0000-0000AC3F0000}"/>
    <cellStyle name="Normal 2" xfId="11" xr:uid="{00000000-0005-0000-0000-00000B000000}"/>
    <cellStyle name="Normal 2 10" xfId="16301" xr:uid="{00000000-0005-0000-0000-0000AD3F0000}"/>
    <cellStyle name="Normal 2 10 2" xfId="16302" xr:uid="{00000000-0005-0000-0000-0000AE3F0000}"/>
    <cellStyle name="Normal 2 11" xfId="16303" xr:uid="{00000000-0005-0000-0000-0000AF3F0000}"/>
    <cellStyle name="Normal 2 12" xfId="16304" xr:uid="{00000000-0005-0000-0000-0000B03F0000}"/>
    <cellStyle name="Normal 2 13" xfId="16305" xr:uid="{00000000-0005-0000-0000-0000B13F0000}"/>
    <cellStyle name="Normal 2 14" xfId="16306" xr:uid="{00000000-0005-0000-0000-0000B23F0000}"/>
    <cellStyle name="Normal 2 15" xfId="16307" xr:uid="{00000000-0005-0000-0000-0000B33F0000}"/>
    <cellStyle name="Normal 2 2" xfId="16308" xr:uid="{00000000-0005-0000-0000-0000B43F0000}"/>
    <cellStyle name="Normal 2 2 2" xfId="6" xr:uid="{00000000-0005-0000-0000-000006000000}"/>
    <cellStyle name="Normal 2 2 2 2" xfId="16309" xr:uid="{00000000-0005-0000-0000-0000B53F0000}"/>
    <cellStyle name="Normal 2 2 2 2 2" xfId="16310" xr:uid="{00000000-0005-0000-0000-0000B63F0000}"/>
    <cellStyle name="Normal 2 2 2 2 2 2" xfId="16311" xr:uid="{00000000-0005-0000-0000-0000B73F0000}"/>
    <cellStyle name="Normal 2 2 2 2 3" xfId="16312" xr:uid="{00000000-0005-0000-0000-0000B83F0000}"/>
    <cellStyle name="Normal 2 2 2 2 3 2" xfId="16313" xr:uid="{00000000-0005-0000-0000-0000B93F0000}"/>
    <cellStyle name="Normal 2 2 2 2 3 2 2" xfId="16314" xr:uid="{00000000-0005-0000-0000-0000BA3F0000}"/>
    <cellStyle name="Normal 2 2 2 2 3 3" xfId="16315" xr:uid="{00000000-0005-0000-0000-0000BB3F0000}"/>
    <cellStyle name="Normal 2 2 2 2 4" xfId="16316" xr:uid="{00000000-0005-0000-0000-0000BC3F0000}"/>
    <cellStyle name="Normal 2 2 2 2 4 2" xfId="16317" xr:uid="{00000000-0005-0000-0000-0000BD3F0000}"/>
    <cellStyle name="Normal 2 2 2 2 4 2 2" xfId="16318" xr:uid="{00000000-0005-0000-0000-0000BE3F0000}"/>
    <cellStyle name="Normal 2 2 2 2 4 3" xfId="16319" xr:uid="{00000000-0005-0000-0000-0000BF3F0000}"/>
    <cellStyle name="Normal 2 2 2 2 5" xfId="16320" xr:uid="{00000000-0005-0000-0000-0000C03F0000}"/>
    <cellStyle name="Normal 2 2 2 3" xfId="16321" xr:uid="{00000000-0005-0000-0000-0000C13F0000}"/>
    <cellStyle name="Normal 2 2 2 3 2" xfId="16322" xr:uid="{00000000-0005-0000-0000-0000C23F0000}"/>
    <cellStyle name="Normal 2 2 2 3 2 2" xfId="16323" xr:uid="{00000000-0005-0000-0000-0000C33F0000}"/>
    <cellStyle name="Normal 2 2 2 3 2 2 2" xfId="16324" xr:uid="{00000000-0005-0000-0000-0000C43F0000}"/>
    <cellStyle name="Normal 2 2 2 3 2 3" xfId="16325" xr:uid="{00000000-0005-0000-0000-0000C53F0000}"/>
    <cellStyle name="Normal 2 2 2 3 2 3 2" xfId="16326" xr:uid="{00000000-0005-0000-0000-0000C63F0000}"/>
    <cellStyle name="Normal 2 2 2 3 2 3 2 2" xfId="16327" xr:uid="{00000000-0005-0000-0000-0000C73F0000}"/>
    <cellStyle name="Normal 2 2 2 3 2 3 3" xfId="16328" xr:uid="{00000000-0005-0000-0000-0000C83F0000}"/>
    <cellStyle name="Normal 2 2 2 3 2 4" xfId="16329" xr:uid="{00000000-0005-0000-0000-0000C93F0000}"/>
    <cellStyle name="Normal 2 2 2 3 3" xfId="16330" xr:uid="{00000000-0005-0000-0000-0000CA3F0000}"/>
    <cellStyle name="Normal 2 2 2 3 3 2" xfId="16331" xr:uid="{00000000-0005-0000-0000-0000CB3F0000}"/>
    <cellStyle name="Normal 2 2 2 3 3 2 2" xfId="16332" xr:uid="{00000000-0005-0000-0000-0000CC3F0000}"/>
    <cellStyle name="Normal 2 2 2 3 3 3" xfId="16333" xr:uid="{00000000-0005-0000-0000-0000CD3F0000}"/>
    <cellStyle name="Normal 2 2 2 3 4" xfId="16334" xr:uid="{00000000-0005-0000-0000-0000CE3F0000}"/>
    <cellStyle name="Normal 2 2 2 3 4 2" xfId="16335" xr:uid="{00000000-0005-0000-0000-0000CF3F0000}"/>
    <cellStyle name="Normal 2 2 2 3 4 2 2" xfId="16336" xr:uid="{00000000-0005-0000-0000-0000D03F0000}"/>
    <cellStyle name="Normal 2 2 2 3 4 3" xfId="16337" xr:uid="{00000000-0005-0000-0000-0000D13F0000}"/>
    <cellStyle name="Normal 2 2 2 3 5" xfId="16338" xr:uid="{00000000-0005-0000-0000-0000D23F0000}"/>
    <cellStyle name="Normal 2 2 2 3 5 2" xfId="16339" xr:uid="{00000000-0005-0000-0000-0000D33F0000}"/>
    <cellStyle name="Normal 2 2 2 3 5 2 2" xfId="16340" xr:uid="{00000000-0005-0000-0000-0000D43F0000}"/>
    <cellStyle name="Normal 2 2 2 3 5 3" xfId="16341" xr:uid="{00000000-0005-0000-0000-0000D53F0000}"/>
    <cellStyle name="Normal 2 2 2 3 6" xfId="16342" xr:uid="{00000000-0005-0000-0000-0000D63F0000}"/>
    <cellStyle name="Normal 2 2 2 4" xfId="16343" xr:uid="{00000000-0005-0000-0000-0000D73F0000}"/>
    <cellStyle name="Normal 2 2 2 4 2" xfId="16344" xr:uid="{00000000-0005-0000-0000-0000D83F0000}"/>
    <cellStyle name="Normal 2 2 2 4 2 2" xfId="16345" xr:uid="{00000000-0005-0000-0000-0000D93F0000}"/>
    <cellStyle name="Normal 2 2 2 4 3" xfId="16346" xr:uid="{00000000-0005-0000-0000-0000DA3F0000}"/>
    <cellStyle name="Normal 2 2 2 5" xfId="16347" xr:uid="{00000000-0005-0000-0000-0000DB3F0000}"/>
    <cellStyle name="Normal 2 2 2 5 2" xfId="16348" xr:uid="{00000000-0005-0000-0000-0000DC3F0000}"/>
    <cellStyle name="Normal 2 2 2 5 2 2" xfId="16349" xr:uid="{00000000-0005-0000-0000-0000DD3F0000}"/>
    <cellStyle name="Normal 2 2 2 5 3" xfId="16350" xr:uid="{00000000-0005-0000-0000-0000DE3F0000}"/>
    <cellStyle name="Normal 2 2 2 6" xfId="16351" xr:uid="{00000000-0005-0000-0000-0000DF3F0000}"/>
    <cellStyle name="Normal 2 2 2 6 2" xfId="16352" xr:uid="{00000000-0005-0000-0000-0000E03F0000}"/>
    <cellStyle name="Normal 2 2 2 6 2 2" xfId="16353" xr:uid="{00000000-0005-0000-0000-0000E13F0000}"/>
    <cellStyle name="Normal 2 2 2 6 3" xfId="16354" xr:uid="{00000000-0005-0000-0000-0000E23F0000}"/>
    <cellStyle name="Normal 2 2 2 7" xfId="16355" xr:uid="{00000000-0005-0000-0000-0000E33F0000}"/>
    <cellStyle name="Normal 2 2 3" xfId="16356" xr:uid="{00000000-0005-0000-0000-0000E43F0000}"/>
    <cellStyle name="Normal 2 2 3 2" xfId="16357" xr:uid="{00000000-0005-0000-0000-0000E53F0000}"/>
    <cellStyle name="Normal 2 2 3 2 2" xfId="16358" xr:uid="{00000000-0005-0000-0000-0000E63F0000}"/>
    <cellStyle name="Normal 2 2 3 2 2 2" xfId="16359" xr:uid="{00000000-0005-0000-0000-0000E73F0000}"/>
    <cellStyle name="Normal 2 2 3 2 3" xfId="16360" xr:uid="{00000000-0005-0000-0000-0000E83F0000}"/>
    <cellStyle name="Normal 2 2 3 2 3 2" xfId="16361" xr:uid="{00000000-0005-0000-0000-0000E93F0000}"/>
    <cellStyle name="Normal 2 2 3 2 3 2 2" xfId="16362" xr:uid="{00000000-0005-0000-0000-0000EA3F0000}"/>
    <cellStyle name="Normal 2 2 3 2 3 3" xfId="16363" xr:uid="{00000000-0005-0000-0000-0000EB3F0000}"/>
    <cellStyle name="Normal 2 2 3 2 4" xfId="16364" xr:uid="{00000000-0005-0000-0000-0000EC3F0000}"/>
    <cellStyle name="Normal 2 2 3 2 4 2" xfId="16365" xr:uid="{00000000-0005-0000-0000-0000ED3F0000}"/>
    <cellStyle name="Normal 2 2 3 2 4 2 2" xfId="16366" xr:uid="{00000000-0005-0000-0000-0000EE3F0000}"/>
    <cellStyle name="Normal 2 2 3 2 4 3" xfId="16367" xr:uid="{00000000-0005-0000-0000-0000EF3F0000}"/>
    <cellStyle name="Normal 2 2 3 2 5" xfId="16368" xr:uid="{00000000-0005-0000-0000-0000F03F0000}"/>
    <cellStyle name="Normal 2 2 3 3" xfId="16369" xr:uid="{00000000-0005-0000-0000-0000F13F0000}"/>
    <cellStyle name="Normal 2 2 3 3 2" xfId="16370" xr:uid="{00000000-0005-0000-0000-0000F23F0000}"/>
    <cellStyle name="Normal 2 2 3 3 2 2" xfId="16371" xr:uid="{00000000-0005-0000-0000-0000F33F0000}"/>
    <cellStyle name="Normal 2 2 3 3 2 2 2" xfId="16372" xr:uid="{00000000-0005-0000-0000-0000F43F0000}"/>
    <cellStyle name="Normal 2 2 3 3 2 3" xfId="16373" xr:uid="{00000000-0005-0000-0000-0000F53F0000}"/>
    <cellStyle name="Normal 2 2 3 3 2 3 2" xfId="16374" xr:uid="{00000000-0005-0000-0000-0000F63F0000}"/>
    <cellStyle name="Normal 2 2 3 3 2 3 2 2" xfId="16375" xr:uid="{00000000-0005-0000-0000-0000F73F0000}"/>
    <cellStyle name="Normal 2 2 3 3 2 3 3" xfId="16376" xr:uid="{00000000-0005-0000-0000-0000F83F0000}"/>
    <cellStyle name="Normal 2 2 3 3 2 4" xfId="16377" xr:uid="{00000000-0005-0000-0000-0000F93F0000}"/>
    <cellStyle name="Normal 2 2 3 3 3" xfId="16378" xr:uid="{00000000-0005-0000-0000-0000FA3F0000}"/>
    <cellStyle name="Normal 2 2 3 4" xfId="16379" xr:uid="{00000000-0005-0000-0000-0000FB3F0000}"/>
    <cellStyle name="Normal 2 2 3 4 2" xfId="16380" xr:uid="{00000000-0005-0000-0000-0000FC3F0000}"/>
    <cellStyle name="Normal 2 2 3 4 2 2" xfId="16381" xr:uid="{00000000-0005-0000-0000-0000FD3F0000}"/>
    <cellStyle name="Normal 2 2 3 4 3" xfId="16382" xr:uid="{00000000-0005-0000-0000-0000FE3F0000}"/>
    <cellStyle name="Normal 2 2 3 5" xfId="16383" xr:uid="{00000000-0005-0000-0000-0000FF3F0000}"/>
    <cellStyle name="Normal 2 2 3 5 2" xfId="16384" xr:uid="{00000000-0005-0000-0000-000000400000}"/>
    <cellStyle name="Normal 2 2 3 5 2 2" xfId="16385" xr:uid="{00000000-0005-0000-0000-000001400000}"/>
    <cellStyle name="Normal 2 2 3 5 3" xfId="16386" xr:uid="{00000000-0005-0000-0000-000002400000}"/>
    <cellStyle name="Normal 2 2 3 6" xfId="16387" xr:uid="{00000000-0005-0000-0000-000003400000}"/>
    <cellStyle name="Normal 2 2 4" xfId="16388" xr:uid="{00000000-0005-0000-0000-000004400000}"/>
    <cellStyle name="Normal 2 2 4 2" xfId="16389" xr:uid="{00000000-0005-0000-0000-000005400000}"/>
    <cellStyle name="Normal 2 2 4 2 2" xfId="16390" xr:uid="{00000000-0005-0000-0000-000006400000}"/>
    <cellStyle name="Normal 2 2 4 2 2 2" xfId="16391" xr:uid="{00000000-0005-0000-0000-000007400000}"/>
    <cellStyle name="Normal 2 2 4 2 3" xfId="16392" xr:uid="{00000000-0005-0000-0000-000008400000}"/>
    <cellStyle name="Normal 2 2 4 2 3 2" xfId="16393" xr:uid="{00000000-0005-0000-0000-000009400000}"/>
    <cellStyle name="Normal 2 2 4 2 3 2 2" xfId="16394" xr:uid="{00000000-0005-0000-0000-00000A400000}"/>
    <cellStyle name="Normal 2 2 4 2 3 3" xfId="16395" xr:uid="{00000000-0005-0000-0000-00000B400000}"/>
    <cellStyle name="Normal 2 2 4 2 4" xfId="16396" xr:uid="{00000000-0005-0000-0000-00000C400000}"/>
    <cellStyle name="Normal 2 2 4 2 4 2" xfId="16397" xr:uid="{00000000-0005-0000-0000-00000D400000}"/>
    <cellStyle name="Normal 2 2 4 2 4 2 2" xfId="16398" xr:uid="{00000000-0005-0000-0000-00000E400000}"/>
    <cellStyle name="Normal 2 2 4 2 4 3" xfId="16399" xr:uid="{00000000-0005-0000-0000-00000F400000}"/>
    <cellStyle name="Normal 2 2 4 2 5" xfId="16400" xr:uid="{00000000-0005-0000-0000-000010400000}"/>
    <cellStyle name="Normal 2 2 4 3" xfId="16401" xr:uid="{00000000-0005-0000-0000-000011400000}"/>
    <cellStyle name="Normal 2 2 4 3 2" xfId="16402" xr:uid="{00000000-0005-0000-0000-000012400000}"/>
    <cellStyle name="Normal 2 2 4 3 2 2" xfId="16403" xr:uid="{00000000-0005-0000-0000-000013400000}"/>
    <cellStyle name="Normal 2 2 4 3 2 2 2" xfId="16404" xr:uid="{00000000-0005-0000-0000-000014400000}"/>
    <cellStyle name="Normal 2 2 4 3 2 3" xfId="16405" xr:uid="{00000000-0005-0000-0000-000015400000}"/>
    <cellStyle name="Normal 2 2 4 3 2 3 2" xfId="16406" xr:uid="{00000000-0005-0000-0000-000016400000}"/>
    <cellStyle name="Normal 2 2 4 3 2 3 2 2" xfId="16407" xr:uid="{00000000-0005-0000-0000-000017400000}"/>
    <cellStyle name="Normal 2 2 4 3 2 3 3" xfId="16408" xr:uid="{00000000-0005-0000-0000-000018400000}"/>
    <cellStyle name="Normal 2 2 4 3 2 4" xfId="16409" xr:uid="{00000000-0005-0000-0000-000019400000}"/>
    <cellStyle name="Normal 2 2 4 3 3" xfId="16410" xr:uid="{00000000-0005-0000-0000-00001A400000}"/>
    <cellStyle name="Normal 2 2 4 3 3 2" xfId="16411" xr:uid="{00000000-0005-0000-0000-00001B400000}"/>
    <cellStyle name="Normal 2 2 4 3 3 2 2" xfId="16412" xr:uid="{00000000-0005-0000-0000-00001C400000}"/>
    <cellStyle name="Normal 2 2 4 3 3 3" xfId="16413" xr:uid="{00000000-0005-0000-0000-00001D400000}"/>
    <cellStyle name="Normal 2 2 4 3 4" xfId="16414" xr:uid="{00000000-0005-0000-0000-00001E400000}"/>
    <cellStyle name="Normal 2 2 4 3 4 2" xfId="16415" xr:uid="{00000000-0005-0000-0000-00001F400000}"/>
    <cellStyle name="Normal 2 2 4 3 4 2 2" xfId="16416" xr:uid="{00000000-0005-0000-0000-000020400000}"/>
    <cellStyle name="Normal 2 2 4 3 4 3" xfId="16417" xr:uid="{00000000-0005-0000-0000-000021400000}"/>
    <cellStyle name="Normal 2 2 4 3 5" xfId="16418" xr:uid="{00000000-0005-0000-0000-000022400000}"/>
    <cellStyle name="Normal 2 2 4 3 5 2" xfId="16419" xr:uid="{00000000-0005-0000-0000-000023400000}"/>
    <cellStyle name="Normal 2 2 4 3 5 2 2" xfId="16420" xr:uid="{00000000-0005-0000-0000-000024400000}"/>
    <cellStyle name="Normal 2 2 4 3 5 3" xfId="16421" xr:uid="{00000000-0005-0000-0000-000025400000}"/>
    <cellStyle name="Normal 2 2 4 3 6" xfId="16422" xr:uid="{00000000-0005-0000-0000-000026400000}"/>
    <cellStyle name="Normal 2 2 4 4" xfId="16423" xr:uid="{00000000-0005-0000-0000-000027400000}"/>
    <cellStyle name="Normal 2 2 5" xfId="16424" xr:uid="{00000000-0005-0000-0000-000028400000}"/>
    <cellStyle name="Normal 2 2 5 2" xfId="16425" xr:uid="{00000000-0005-0000-0000-000029400000}"/>
    <cellStyle name="Normal 2 2 5 2 2" xfId="16426" xr:uid="{00000000-0005-0000-0000-00002A400000}"/>
    <cellStyle name="Normal 2 2 5 3" xfId="16427" xr:uid="{00000000-0005-0000-0000-00002B400000}"/>
    <cellStyle name="Normal 2 2 5 3 2" xfId="16428" xr:uid="{00000000-0005-0000-0000-00002C400000}"/>
    <cellStyle name="Normal 2 2 5 3 2 2" xfId="16429" xr:uid="{00000000-0005-0000-0000-00002D400000}"/>
    <cellStyle name="Normal 2 2 5 3 3" xfId="16430" xr:uid="{00000000-0005-0000-0000-00002E400000}"/>
    <cellStyle name="Normal 2 2 5 4" xfId="16431" xr:uid="{00000000-0005-0000-0000-00002F400000}"/>
    <cellStyle name="Normal 2 2 5 4 2" xfId="16432" xr:uid="{00000000-0005-0000-0000-000030400000}"/>
    <cellStyle name="Normal 2 2 5 4 2 2" xfId="16433" xr:uid="{00000000-0005-0000-0000-000031400000}"/>
    <cellStyle name="Normal 2 2 5 4 3" xfId="16434" xr:uid="{00000000-0005-0000-0000-000032400000}"/>
    <cellStyle name="Normal 2 2 5 5" xfId="16435" xr:uid="{00000000-0005-0000-0000-000033400000}"/>
    <cellStyle name="Normal 2 2 6" xfId="16436" xr:uid="{00000000-0005-0000-0000-000034400000}"/>
    <cellStyle name="Normal 2 2 6 2" xfId="16437" xr:uid="{00000000-0005-0000-0000-000035400000}"/>
    <cellStyle name="Normal 2 2 6 2 2" xfId="16438" xr:uid="{00000000-0005-0000-0000-000036400000}"/>
    <cellStyle name="Normal 2 2 6 2 2 2" xfId="16439" xr:uid="{00000000-0005-0000-0000-000037400000}"/>
    <cellStyle name="Normal 2 2 6 2 3" xfId="16440" xr:uid="{00000000-0005-0000-0000-000038400000}"/>
    <cellStyle name="Normal 2 2 6 2 3 2" xfId="16441" xr:uid="{00000000-0005-0000-0000-000039400000}"/>
    <cellStyle name="Normal 2 2 6 2 3 2 2" xfId="16442" xr:uid="{00000000-0005-0000-0000-00003A400000}"/>
    <cellStyle name="Normal 2 2 6 2 3 3" xfId="16443" xr:uid="{00000000-0005-0000-0000-00003B400000}"/>
    <cellStyle name="Normal 2 2 6 2 4" xfId="16444" xr:uid="{00000000-0005-0000-0000-00003C400000}"/>
    <cellStyle name="Normal 2 2 6 3" xfId="16445" xr:uid="{00000000-0005-0000-0000-00003D400000}"/>
    <cellStyle name="Normal 2 2 6 3 2" xfId="16446" xr:uid="{00000000-0005-0000-0000-00003E400000}"/>
    <cellStyle name="Normal 2 2 6 3 2 2" xfId="16447" xr:uid="{00000000-0005-0000-0000-00003F400000}"/>
    <cellStyle name="Normal 2 2 6 3 3" xfId="16448" xr:uid="{00000000-0005-0000-0000-000040400000}"/>
    <cellStyle name="Normal 2 2 6 4" xfId="16449" xr:uid="{00000000-0005-0000-0000-000041400000}"/>
    <cellStyle name="Normal 2 2 6 4 2" xfId="16450" xr:uid="{00000000-0005-0000-0000-000042400000}"/>
    <cellStyle name="Normal 2 2 6 4 2 2" xfId="16451" xr:uid="{00000000-0005-0000-0000-000043400000}"/>
    <cellStyle name="Normal 2 2 6 4 3" xfId="16452" xr:uid="{00000000-0005-0000-0000-000044400000}"/>
    <cellStyle name="Normal 2 2 6 5" xfId="16453" xr:uid="{00000000-0005-0000-0000-000045400000}"/>
    <cellStyle name="Normal 2 2 6 5 2" xfId="16454" xr:uid="{00000000-0005-0000-0000-000046400000}"/>
    <cellStyle name="Normal 2 2 6 5 2 2" xfId="16455" xr:uid="{00000000-0005-0000-0000-000047400000}"/>
    <cellStyle name="Normal 2 2 6 5 3" xfId="16456" xr:uid="{00000000-0005-0000-0000-000048400000}"/>
    <cellStyle name="Normal 2 2 6 6" xfId="16457" xr:uid="{00000000-0005-0000-0000-000049400000}"/>
    <cellStyle name="Normal 2 2 7" xfId="16458" xr:uid="{00000000-0005-0000-0000-00004A400000}"/>
    <cellStyle name="Normal 2 2 7 2" xfId="16459" xr:uid="{00000000-0005-0000-0000-00004B400000}"/>
    <cellStyle name="Normal 2 2 7 2 2" xfId="16460" xr:uid="{00000000-0005-0000-0000-00004C400000}"/>
    <cellStyle name="Normal 2 2 7 3" xfId="16461" xr:uid="{00000000-0005-0000-0000-00004D400000}"/>
    <cellStyle name="Normal 2 2 8" xfId="16462" xr:uid="{00000000-0005-0000-0000-00004E400000}"/>
    <cellStyle name="Normal 2 2 8 2" xfId="16463" xr:uid="{00000000-0005-0000-0000-00004F400000}"/>
    <cellStyle name="Normal 2 2 9" xfId="16464" xr:uid="{00000000-0005-0000-0000-000050400000}"/>
    <cellStyle name="Normal 2 3" xfId="16465" xr:uid="{00000000-0005-0000-0000-000051400000}"/>
    <cellStyle name="Normal 2 3 2" xfId="16466" xr:uid="{00000000-0005-0000-0000-000052400000}"/>
    <cellStyle name="Normal 2 3 2 2" xfId="16467" xr:uid="{00000000-0005-0000-0000-000053400000}"/>
    <cellStyle name="Normal 2 3 2 2 2" xfId="16468" xr:uid="{00000000-0005-0000-0000-000054400000}"/>
    <cellStyle name="Normal 2 3 2 3" xfId="16469" xr:uid="{00000000-0005-0000-0000-000055400000}"/>
    <cellStyle name="Normal 2 3 2 3 2" xfId="16470" xr:uid="{00000000-0005-0000-0000-000056400000}"/>
    <cellStyle name="Normal 2 3 2 3 2 2" xfId="16471" xr:uid="{00000000-0005-0000-0000-000057400000}"/>
    <cellStyle name="Normal 2 3 2 3 3" xfId="16472" xr:uid="{00000000-0005-0000-0000-000058400000}"/>
    <cellStyle name="Normal 2 3 2 4" xfId="16473" xr:uid="{00000000-0005-0000-0000-000059400000}"/>
    <cellStyle name="Normal 2 3 2 4 2" xfId="16474" xr:uid="{00000000-0005-0000-0000-00005A400000}"/>
    <cellStyle name="Normal 2 3 2 4 2 2" xfId="16475" xr:uid="{00000000-0005-0000-0000-00005B400000}"/>
    <cellStyle name="Normal 2 3 2 4 3" xfId="16476" xr:uid="{00000000-0005-0000-0000-00005C400000}"/>
    <cellStyle name="Normal 2 3 2 5" xfId="16477" xr:uid="{00000000-0005-0000-0000-00005D400000}"/>
    <cellStyle name="Normal 2 3 2 6" xfId="16478" xr:uid="{00000000-0005-0000-0000-00005E400000}"/>
    <cellStyle name="Normal 2 3 3" xfId="16479" xr:uid="{00000000-0005-0000-0000-00005F400000}"/>
    <cellStyle name="Normal 2 3 3 2" xfId="16480" xr:uid="{00000000-0005-0000-0000-000060400000}"/>
    <cellStyle name="Normal 2 3 3 2 2" xfId="16481" xr:uid="{00000000-0005-0000-0000-000061400000}"/>
    <cellStyle name="Normal 2 3 3 2 2 2" xfId="16482" xr:uid="{00000000-0005-0000-0000-000062400000}"/>
    <cellStyle name="Normal 2 3 3 2 3" xfId="16483" xr:uid="{00000000-0005-0000-0000-000063400000}"/>
    <cellStyle name="Normal 2 3 3 2 3 2" xfId="16484" xr:uid="{00000000-0005-0000-0000-000064400000}"/>
    <cellStyle name="Normal 2 3 3 2 3 2 2" xfId="16485" xr:uid="{00000000-0005-0000-0000-000065400000}"/>
    <cellStyle name="Normal 2 3 3 2 3 3" xfId="16486" xr:uid="{00000000-0005-0000-0000-000066400000}"/>
    <cellStyle name="Normal 2 3 3 2 4" xfId="16487" xr:uid="{00000000-0005-0000-0000-000067400000}"/>
    <cellStyle name="Normal 2 3 3 3" xfId="16488" xr:uid="{00000000-0005-0000-0000-000068400000}"/>
    <cellStyle name="Normal 2 3 3 3 2" xfId="16489" xr:uid="{00000000-0005-0000-0000-000069400000}"/>
    <cellStyle name="Normal 2 3 3 3 2 2" xfId="16490" xr:uid="{00000000-0005-0000-0000-00006A400000}"/>
    <cellStyle name="Normal 2 3 3 3 3" xfId="16491" xr:uid="{00000000-0005-0000-0000-00006B400000}"/>
    <cellStyle name="Normal 2 3 3 4" xfId="16492" xr:uid="{00000000-0005-0000-0000-00006C400000}"/>
    <cellStyle name="Normal 2 3 3 4 2" xfId="16493" xr:uid="{00000000-0005-0000-0000-00006D400000}"/>
    <cellStyle name="Normal 2 3 3 4 2 2" xfId="16494" xr:uid="{00000000-0005-0000-0000-00006E400000}"/>
    <cellStyle name="Normal 2 3 3 4 3" xfId="16495" xr:uid="{00000000-0005-0000-0000-00006F400000}"/>
    <cellStyle name="Normal 2 3 3 5" xfId="16496" xr:uid="{00000000-0005-0000-0000-000070400000}"/>
    <cellStyle name="Normal 2 3 3 5 2" xfId="16497" xr:uid="{00000000-0005-0000-0000-000071400000}"/>
    <cellStyle name="Normal 2 3 3 5 2 2" xfId="16498" xr:uid="{00000000-0005-0000-0000-000072400000}"/>
    <cellStyle name="Normal 2 3 3 5 3" xfId="16499" xr:uid="{00000000-0005-0000-0000-000073400000}"/>
    <cellStyle name="Normal 2 3 3 6" xfId="16500" xr:uid="{00000000-0005-0000-0000-000074400000}"/>
    <cellStyle name="Normal 2 3 4" xfId="16501" xr:uid="{00000000-0005-0000-0000-000075400000}"/>
    <cellStyle name="Normal 2 3 4 2" xfId="16502" xr:uid="{00000000-0005-0000-0000-000076400000}"/>
    <cellStyle name="Normal 2 3 4 2 2" xfId="16503" xr:uid="{00000000-0005-0000-0000-000077400000}"/>
    <cellStyle name="Normal 2 3 4 3" xfId="16504" xr:uid="{00000000-0005-0000-0000-000078400000}"/>
    <cellStyle name="Normal 2 3 5" xfId="16505" xr:uid="{00000000-0005-0000-0000-000079400000}"/>
    <cellStyle name="Normal 2 3 5 2" xfId="16506" xr:uid="{00000000-0005-0000-0000-00007A400000}"/>
    <cellStyle name="Normal 2 3 5 2 2" xfId="16507" xr:uid="{00000000-0005-0000-0000-00007B400000}"/>
    <cellStyle name="Normal 2 3 5 3" xfId="16508" xr:uid="{00000000-0005-0000-0000-00007C400000}"/>
    <cellStyle name="Normal 2 3 6" xfId="16509" xr:uid="{00000000-0005-0000-0000-00007D400000}"/>
    <cellStyle name="Normal 2 3 6 2" xfId="16510" xr:uid="{00000000-0005-0000-0000-00007E400000}"/>
    <cellStyle name="Normal 2 3 6 2 2" xfId="16511" xr:uid="{00000000-0005-0000-0000-00007F400000}"/>
    <cellStyle name="Normal 2 3 6 3" xfId="16512" xr:uid="{00000000-0005-0000-0000-000080400000}"/>
    <cellStyle name="Normal 2 3 7" xfId="16513" xr:uid="{00000000-0005-0000-0000-000081400000}"/>
    <cellStyle name="Normal 2 3 7 2" xfId="16514" xr:uid="{00000000-0005-0000-0000-000082400000}"/>
    <cellStyle name="Normal 2 3 8" xfId="16515" xr:uid="{00000000-0005-0000-0000-000083400000}"/>
    <cellStyle name="Normal 2 4" xfId="16516" xr:uid="{00000000-0005-0000-0000-000084400000}"/>
    <cellStyle name="Normal 2 4 2" xfId="16517" xr:uid="{00000000-0005-0000-0000-000085400000}"/>
    <cellStyle name="Normal 2 4 2 2" xfId="16518" xr:uid="{00000000-0005-0000-0000-000086400000}"/>
    <cellStyle name="Normal 2 4 2 2 2" xfId="16519" xr:uid="{00000000-0005-0000-0000-000087400000}"/>
    <cellStyle name="Normal 2 4 2 3" xfId="16520" xr:uid="{00000000-0005-0000-0000-000088400000}"/>
    <cellStyle name="Normal 2 4 2 3 2" xfId="16521" xr:uid="{00000000-0005-0000-0000-000089400000}"/>
    <cellStyle name="Normal 2 4 2 3 2 2" xfId="16522" xr:uid="{00000000-0005-0000-0000-00008A400000}"/>
    <cellStyle name="Normal 2 4 2 3 3" xfId="16523" xr:uid="{00000000-0005-0000-0000-00008B400000}"/>
    <cellStyle name="Normal 2 4 2 4" xfId="16524" xr:uid="{00000000-0005-0000-0000-00008C400000}"/>
    <cellStyle name="Normal 2 4 2 4 2" xfId="16525" xr:uid="{00000000-0005-0000-0000-00008D400000}"/>
    <cellStyle name="Normal 2 4 2 4 2 2" xfId="16526" xr:uid="{00000000-0005-0000-0000-00008E400000}"/>
    <cellStyle name="Normal 2 4 2 4 3" xfId="16527" xr:uid="{00000000-0005-0000-0000-00008F400000}"/>
    <cellStyle name="Normal 2 4 2 5" xfId="16528" xr:uid="{00000000-0005-0000-0000-000090400000}"/>
    <cellStyle name="Normal 2 4 2 6" xfId="16529" xr:uid="{00000000-0005-0000-0000-000091400000}"/>
    <cellStyle name="Normal 2 4 3" xfId="16530" xr:uid="{00000000-0005-0000-0000-000092400000}"/>
    <cellStyle name="Normal 2 4 3 2" xfId="16531" xr:uid="{00000000-0005-0000-0000-000093400000}"/>
    <cellStyle name="Normal 2 4 3 2 2" xfId="16532" xr:uid="{00000000-0005-0000-0000-000094400000}"/>
    <cellStyle name="Normal 2 4 3 2 2 2" xfId="16533" xr:uid="{00000000-0005-0000-0000-000095400000}"/>
    <cellStyle name="Normal 2 4 3 2 3" xfId="16534" xr:uid="{00000000-0005-0000-0000-000096400000}"/>
    <cellStyle name="Normal 2 4 3 2 3 2" xfId="16535" xr:uid="{00000000-0005-0000-0000-000097400000}"/>
    <cellStyle name="Normal 2 4 3 2 3 2 2" xfId="16536" xr:uid="{00000000-0005-0000-0000-000098400000}"/>
    <cellStyle name="Normal 2 4 3 2 3 3" xfId="16537" xr:uid="{00000000-0005-0000-0000-000099400000}"/>
    <cellStyle name="Normal 2 4 3 2 4" xfId="16538" xr:uid="{00000000-0005-0000-0000-00009A400000}"/>
    <cellStyle name="Normal 2 4 3 3" xfId="16539" xr:uid="{00000000-0005-0000-0000-00009B400000}"/>
    <cellStyle name="Normal 2 4 4" xfId="16540" xr:uid="{00000000-0005-0000-0000-00009C400000}"/>
    <cellStyle name="Normal 2 4 4 2" xfId="16541" xr:uid="{00000000-0005-0000-0000-00009D400000}"/>
    <cellStyle name="Normal 2 4 4 2 2" xfId="16542" xr:uid="{00000000-0005-0000-0000-00009E400000}"/>
    <cellStyle name="Normal 2 4 4 3" xfId="16543" xr:uid="{00000000-0005-0000-0000-00009F400000}"/>
    <cellStyle name="Normal 2 4 5" xfId="16544" xr:uid="{00000000-0005-0000-0000-0000A0400000}"/>
    <cellStyle name="Normal 2 4 5 2" xfId="16545" xr:uid="{00000000-0005-0000-0000-0000A1400000}"/>
    <cellStyle name="Normal 2 4 5 2 2" xfId="16546" xr:uid="{00000000-0005-0000-0000-0000A2400000}"/>
    <cellStyle name="Normal 2 4 5 3" xfId="16547" xr:uid="{00000000-0005-0000-0000-0000A3400000}"/>
    <cellStyle name="Normal 2 4 6" xfId="16548" xr:uid="{00000000-0005-0000-0000-0000A4400000}"/>
    <cellStyle name="Normal 2 4 7" xfId="16549" xr:uid="{00000000-0005-0000-0000-0000A5400000}"/>
    <cellStyle name="Normal 2 5" xfId="16550" xr:uid="{00000000-0005-0000-0000-0000A6400000}"/>
    <cellStyle name="Normal 2 5 2" xfId="16551" xr:uid="{00000000-0005-0000-0000-0000A7400000}"/>
    <cellStyle name="Normal 2 5 2 2" xfId="16552" xr:uid="{00000000-0005-0000-0000-0000A8400000}"/>
    <cellStyle name="Normal 2 5 2 2 2" xfId="16553" xr:uid="{00000000-0005-0000-0000-0000A9400000}"/>
    <cellStyle name="Normal 2 5 2 3" xfId="16554" xr:uid="{00000000-0005-0000-0000-0000AA400000}"/>
    <cellStyle name="Normal 2 5 2 3 2" xfId="16555" xr:uid="{00000000-0005-0000-0000-0000AB400000}"/>
    <cellStyle name="Normal 2 5 2 3 2 2" xfId="16556" xr:uid="{00000000-0005-0000-0000-0000AC400000}"/>
    <cellStyle name="Normal 2 5 2 3 3" xfId="16557" xr:uid="{00000000-0005-0000-0000-0000AD400000}"/>
    <cellStyle name="Normal 2 5 2 4" xfId="16558" xr:uid="{00000000-0005-0000-0000-0000AE400000}"/>
    <cellStyle name="Normal 2 5 2 4 2" xfId="16559" xr:uid="{00000000-0005-0000-0000-0000AF400000}"/>
    <cellStyle name="Normal 2 5 2 4 2 2" xfId="16560" xr:uid="{00000000-0005-0000-0000-0000B0400000}"/>
    <cellStyle name="Normal 2 5 2 4 3" xfId="16561" xr:uid="{00000000-0005-0000-0000-0000B1400000}"/>
    <cellStyle name="Normal 2 5 2 5" xfId="16562" xr:uid="{00000000-0005-0000-0000-0000B2400000}"/>
    <cellStyle name="Normal 2 5 3" xfId="16563" xr:uid="{00000000-0005-0000-0000-0000B3400000}"/>
    <cellStyle name="Normal 2 5 3 2" xfId="16564" xr:uid="{00000000-0005-0000-0000-0000B4400000}"/>
    <cellStyle name="Normal 2 5 3 2 2" xfId="16565" xr:uid="{00000000-0005-0000-0000-0000B5400000}"/>
    <cellStyle name="Normal 2 5 3 2 2 2" xfId="16566" xr:uid="{00000000-0005-0000-0000-0000B6400000}"/>
    <cellStyle name="Normal 2 5 3 2 3" xfId="16567" xr:uid="{00000000-0005-0000-0000-0000B7400000}"/>
    <cellStyle name="Normal 2 5 3 2 3 2" xfId="16568" xr:uid="{00000000-0005-0000-0000-0000B8400000}"/>
    <cellStyle name="Normal 2 5 3 2 3 2 2" xfId="16569" xr:uid="{00000000-0005-0000-0000-0000B9400000}"/>
    <cellStyle name="Normal 2 5 3 2 3 3" xfId="16570" xr:uid="{00000000-0005-0000-0000-0000BA400000}"/>
    <cellStyle name="Normal 2 5 3 2 4" xfId="16571" xr:uid="{00000000-0005-0000-0000-0000BB400000}"/>
    <cellStyle name="Normal 2 5 3 3" xfId="16572" xr:uid="{00000000-0005-0000-0000-0000BC400000}"/>
    <cellStyle name="Normal 2 5 4" xfId="16573" xr:uid="{00000000-0005-0000-0000-0000BD400000}"/>
    <cellStyle name="Normal 2 5 4 2" xfId="16574" xr:uid="{00000000-0005-0000-0000-0000BE400000}"/>
    <cellStyle name="Normal 2 5 4 2 2" xfId="16575" xr:uid="{00000000-0005-0000-0000-0000BF400000}"/>
    <cellStyle name="Normal 2 5 4 3" xfId="16576" xr:uid="{00000000-0005-0000-0000-0000C0400000}"/>
    <cellStyle name="Normal 2 5 5" xfId="16577" xr:uid="{00000000-0005-0000-0000-0000C1400000}"/>
    <cellStyle name="Normal 2 5 5 2" xfId="16578" xr:uid="{00000000-0005-0000-0000-0000C2400000}"/>
    <cellStyle name="Normal 2 5 5 2 2" xfId="16579" xr:uid="{00000000-0005-0000-0000-0000C3400000}"/>
    <cellStyle name="Normal 2 5 5 3" xfId="16580" xr:uid="{00000000-0005-0000-0000-0000C4400000}"/>
    <cellStyle name="Normal 2 5 6" xfId="16581" xr:uid="{00000000-0005-0000-0000-0000C5400000}"/>
    <cellStyle name="Normal 2 5 7" xfId="16582" xr:uid="{00000000-0005-0000-0000-0000C6400000}"/>
    <cellStyle name="Normal 2 6" xfId="16583" xr:uid="{00000000-0005-0000-0000-0000C7400000}"/>
    <cellStyle name="Normal 2 6 10" xfId="16584" xr:uid="{00000000-0005-0000-0000-0000C8400000}"/>
    <cellStyle name="Normal 2 6 10 2" xfId="16585" xr:uid="{00000000-0005-0000-0000-0000C9400000}"/>
    <cellStyle name="Normal 2 6 10 3" xfId="16586" xr:uid="{00000000-0005-0000-0000-0000CA400000}"/>
    <cellStyle name="Normal 2 6 10 4" xfId="16587" xr:uid="{00000000-0005-0000-0000-0000CB400000}"/>
    <cellStyle name="Normal 2 6 10 5" xfId="16588" xr:uid="{00000000-0005-0000-0000-0000CC400000}"/>
    <cellStyle name="Normal 2 6 11" xfId="16589" xr:uid="{00000000-0005-0000-0000-0000CD400000}"/>
    <cellStyle name="Normal 2 6 12" xfId="16590" xr:uid="{00000000-0005-0000-0000-0000CE400000}"/>
    <cellStyle name="Normal 2 6 13" xfId="16591" xr:uid="{00000000-0005-0000-0000-0000CF400000}"/>
    <cellStyle name="Normal 2 6 14" xfId="16592" xr:uid="{00000000-0005-0000-0000-0000D0400000}"/>
    <cellStyle name="Normal 2 6 15" xfId="16593" xr:uid="{00000000-0005-0000-0000-0000D1400000}"/>
    <cellStyle name="Normal 2 6 16" xfId="16594" xr:uid="{00000000-0005-0000-0000-0000D2400000}"/>
    <cellStyle name="Normal 2 6 17" xfId="16595" xr:uid="{00000000-0005-0000-0000-0000D3400000}"/>
    <cellStyle name="Normal 2 6 2" xfId="16596" xr:uid="{00000000-0005-0000-0000-0000D4400000}"/>
    <cellStyle name="Normal 2 6 2 10" xfId="16597" xr:uid="{00000000-0005-0000-0000-0000D5400000}"/>
    <cellStyle name="Normal 2 6 2 11" xfId="16598" xr:uid="{00000000-0005-0000-0000-0000D6400000}"/>
    <cellStyle name="Normal 2 6 2 12" xfId="16599" xr:uid="{00000000-0005-0000-0000-0000D7400000}"/>
    <cellStyle name="Normal 2 6 2 13" xfId="16600" xr:uid="{00000000-0005-0000-0000-0000D8400000}"/>
    <cellStyle name="Normal 2 6 2 14" xfId="16601" xr:uid="{00000000-0005-0000-0000-0000D9400000}"/>
    <cellStyle name="Normal 2 6 2 15" xfId="16602" xr:uid="{00000000-0005-0000-0000-0000DA400000}"/>
    <cellStyle name="Normal 2 6 2 2" xfId="16603" xr:uid="{00000000-0005-0000-0000-0000DB400000}"/>
    <cellStyle name="Normal 2 6 2 2 10" xfId="16604" xr:uid="{00000000-0005-0000-0000-0000DC400000}"/>
    <cellStyle name="Normal 2 6 2 2 11" xfId="16605" xr:uid="{00000000-0005-0000-0000-0000DD400000}"/>
    <cellStyle name="Normal 2 6 2 2 2" xfId="16606" xr:uid="{00000000-0005-0000-0000-0000DE400000}"/>
    <cellStyle name="Normal 2 6 2 2 2 2" xfId="16607" xr:uid="{00000000-0005-0000-0000-0000DF400000}"/>
    <cellStyle name="Normal 2 6 2 2 2 2 2" xfId="16608" xr:uid="{00000000-0005-0000-0000-0000E0400000}"/>
    <cellStyle name="Normal 2 6 2 2 2 2 3" xfId="16609" xr:uid="{00000000-0005-0000-0000-0000E1400000}"/>
    <cellStyle name="Normal 2 6 2 2 2 2 4" xfId="16610" xr:uid="{00000000-0005-0000-0000-0000E2400000}"/>
    <cellStyle name="Normal 2 6 2 2 2 2 5" xfId="16611" xr:uid="{00000000-0005-0000-0000-0000E3400000}"/>
    <cellStyle name="Normal 2 6 2 2 2 3" xfId="16612" xr:uid="{00000000-0005-0000-0000-0000E4400000}"/>
    <cellStyle name="Normal 2 6 2 2 2 3 2" xfId="16613" xr:uid="{00000000-0005-0000-0000-0000E5400000}"/>
    <cellStyle name="Normal 2 6 2 2 2 3 3" xfId="16614" xr:uid="{00000000-0005-0000-0000-0000E6400000}"/>
    <cellStyle name="Normal 2 6 2 2 2 3 4" xfId="16615" xr:uid="{00000000-0005-0000-0000-0000E7400000}"/>
    <cellStyle name="Normal 2 6 2 2 2 3 5" xfId="16616" xr:uid="{00000000-0005-0000-0000-0000E8400000}"/>
    <cellStyle name="Normal 2 6 2 2 2 4" xfId="16617" xr:uid="{00000000-0005-0000-0000-0000E9400000}"/>
    <cellStyle name="Normal 2 6 2 2 2 5" xfId="16618" xr:uid="{00000000-0005-0000-0000-0000EA400000}"/>
    <cellStyle name="Normal 2 6 2 2 2 6" xfId="16619" xr:uid="{00000000-0005-0000-0000-0000EB400000}"/>
    <cellStyle name="Normal 2 6 2 2 2 7" xfId="16620" xr:uid="{00000000-0005-0000-0000-0000EC400000}"/>
    <cellStyle name="Normal 2 6 2 2 2 8" xfId="16621" xr:uid="{00000000-0005-0000-0000-0000ED400000}"/>
    <cellStyle name="Normal 2 6 2 2 2 9" xfId="16622" xr:uid="{00000000-0005-0000-0000-0000EE400000}"/>
    <cellStyle name="Normal 2 6 2 2 3" xfId="16623" xr:uid="{00000000-0005-0000-0000-0000EF400000}"/>
    <cellStyle name="Normal 2 6 2 2 3 2" xfId="16624" xr:uid="{00000000-0005-0000-0000-0000F0400000}"/>
    <cellStyle name="Normal 2 6 2 2 3 3" xfId="16625" xr:uid="{00000000-0005-0000-0000-0000F1400000}"/>
    <cellStyle name="Normal 2 6 2 2 3 4" xfId="16626" xr:uid="{00000000-0005-0000-0000-0000F2400000}"/>
    <cellStyle name="Normal 2 6 2 2 3 5" xfId="16627" xr:uid="{00000000-0005-0000-0000-0000F3400000}"/>
    <cellStyle name="Normal 2 6 2 2 4" xfId="16628" xr:uid="{00000000-0005-0000-0000-0000F4400000}"/>
    <cellStyle name="Normal 2 6 2 2 4 2" xfId="16629" xr:uid="{00000000-0005-0000-0000-0000F5400000}"/>
    <cellStyle name="Normal 2 6 2 2 4 3" xfId="16630" xr:uid="{00000000-0005-0000-0000-0000F6400000}"/>
    <cellStyle name="Normal 2 6 2 2 4 4" xfId="16631" xr:uid="{00000000-0005-0000-0000-0000F7400000}"/>
    <cellStyle name="Normal 2 6 2 2 4 5" xfId="16632" xr:uid="{00000000-0005-0000-0000-0000F8400000}"/>
    <cellStyle name="Normal 2 6 2 2 5" xfId="16633" xr:uid="{00000000-0005-0000-0000-0000F9400000}"/>
    <cellStyle name="Normal 2 6 2 2 6" xfId="16634" xr:uid="{00000000-0005-0000-0000-0000FA400000}"/>
    <cellStyle name="Normal 2 6 2 2 7" xfId="16635" xr:uid="{00000000-0005-0000-0000-0000FB400000}"/>
    <cellStyle name="Normal 2 6 2 2 8" xfId="16636" xr:uid="{00000000-0005-0000-0000-0000FC400000}"/>
    <cellStyle name="Normal 2 6 2 2 9" xfId="16637" xr:uid="{00000000-0005-0000-0000-0000FD400000}"/>
    <cellStyle name="Normal 2 6 2 3" xfId="16638" xr:uid="{00000000-0005-0000-0000-0000FE400000}"/>
    <cellStyle name="Normal 2 6 2 3 10" xfId="16639" xr:uid="{00000000-0005-0000-0000-0000FF400000}"/>
    <cellStyle name="Normal 2 6 2 3 11" xfId="16640" xr:uid="{00000000-0005-0000-0000-000000410000}"/>
    <cellStyle name="Normal 2 6 2 3 2" xfId="16641" xr:uid="{00000000-0005-0000-0000-000001410000}"/>
    <cellStyle name="Normal 2 6 2 3 2 2" xfId="16642" xr:uid="{00000000-0005-0000-0000-000002410000}"/>
    <cellStyle name="Normal 2 6 2 3 2 2 2" xfId="16643" xr:uid="{00000000-0005-0000-0000-000003410000}"/>
    <cellStyle name="Normal 2 6 2 3 2 2 3" xfId="16644" xr:uid="{00000000-0005-0000-0000-000004410000}"/>
    <cellStyle name="Normal 2 6 2 3 2 2 4" xfId="16645" xr:uid="{00000000-0005-0000-0000-000005410000}"/>
    <cellStyle name="Normal 2 6 2 3 2 2 5" xfId="16646" xr:uid="{00000000-0005-0000-0000-000006410000}"/>
    <cellStyle name="Normal 2 6 2 3 2 3" xfId="16647" xr:uid="{00000000-0005-0000-0000-000007410000}"/>
    <cellStyle name="Normal 2 6 2 3 2 3 2" xfId="16648" xr:uid="{00000000-0005-0000-0000-000008410000}"/>
    <cellStyle name="Normal 2 6 2 3 2 3 3" xfId="16649" xr:uid="{00000000-0005-0000-0000-000009410000}"/>
    <cellStyle name="Normal 2 6 2 3 2 3 4" xfId="16650" xr:uid="{00000000-0005-0000-0000-00000A410000}"/>
    <cellStyle name="Normal 2 6 2 3 2 3 5" xfId="16651" xr:uid="{00000000-0005-0000-0000-00000B410000}"/>
    <cellStyle name="Normal 2 6 2 3 2 4" xfId="16652" xr:uid="{00000000-0005-0000-0000-00000C410000}"/>
    <cellStyle name="Normal 2 6 2 3 2 5" xfId="16653" xr:uid="{00000000-0005-0000-0000-00000D410000}"/>
    <cellStyle name="Normal 2 6 2 3 2 6" xfId="16654" xr:uid="{00000000-0005-0000-0000-00000E410000}"/>
    <cellStyle name="Normal 2 6 2 3 2 7" xfId="16655" xr:uid="{00000000-0005-0000-0000-00000F410000}"/>
    <cellStyle name="Normal 2 6 2 3 2 8" xfId="16656" xr:uid="{00000000-0005-0000-0000-000010410000}"/>
    <cellStyle name="Normal 2 6 2 3 2 9" xfId="16657" xr:uid="{00000000-0005-0000-0000-000011410000}"/>
    <cellStyle name="Normal 2 6 2 3 3" xfId="16658" xr:uid="{00000000-0005-0000-0000-000012410000}"/>
    <cellStyle name="Normal 2 6 2 3 3 2" xfId="16659" xr:uid="{00000000-0005-0000-0000-000013410000}"/>
    <cellStyle name="Normal 2 6 2 3 3 3" xfId="16660" xr:uid="{00000000-0005-0000-0000-000014410000}"/>
    <cellStyle name="Normal 2 6 2 3 3 4" xfId="16661" xr:uid="{00000000-0005-0000-0000-000015410000}"/>
    <cellStyle name="Normal 2 6 2 3 3 5" xfId="16662" xr:uid="{00000000-0005-0000-0000-000016410000}"/>
    <cellStyle name="Normal 2 6 2 3 4" xfId="16663" xr:uid="{00000000-0005-0000-0000-000017410000}"/>
    <cellStyle name="Normal 2 6 2 3 4 2" xfId="16664" xr:uid="{00000000-0005-0000-0000-000018410000}"/>
    <cellStyle name="Normal 2 6 2 3 4 3" xfId="16665" xr:uid="{00000000-0005-0000-0000-000019410000}"/>
    <cellStyle name="Normal 2 6 2 3 4 4" xfId="16666" xr:uid="{00000000-0005-0000-0000-00001A410000}"/>
    <cellStyle name="Normal 2 6 2 3 4 5" xfId="16667" xr:uid="{00000000-0005-0000-0000-00001B410000}"/>
    <cellStyle name="Normal 2 6 2 3 5" xfId="16668" xr:uid="{00000000-0005-0000-0000-00001C410000}"/>
    <cellStyle name="Normal 2 6 2 3 6" xfId="16669" xr:uid="{00000000-0005-0000-0000-00001D410000}"/>
    <cellStyle name="Normal 2 6 2 3 7" xfId="16670" xr:uid="{00000000-0005-0000-0000-00001E410000}"/>
    <cellStyle name="Normal 2 6 2 3 8" xfId="16671" xr:uid="{00000000-0005-0000-0000-00001F410000}"/>
    <cellStyle name="Normal 2 6 2 3 9" xfId="16672" xr:uid="{00000000-0005-0000-0000-000020410000}"/>
    <cellStyle name="Normal 2 6 2 4" xfId="16673" xr:uid="{00000000-0005-0000-0000-000021410000}"/>
    <cellStyle name="Normal 2 6 2 4 10" xfId="16674" xr:uid="{00000000-0005-0000-0000-000022410000}"/>
    <cellStyle name="Normal 2 6 2 4 11" xfId="16675" xr:uid="{00000000-0005-0000-0000-000023410000}"/>
    <cellStyle name="Normal 2 6 2 4 2" xfId="16676" xr:uid="{00000000-0005-0000-0000-000024410000}"/>
    <cellStyle name="Normal 2 6 2 4 2 2" xfId="16677" xr:uid="{00000000-0005-0000-0000-000025410000}"/>
    <cellStyle name="Normal 2 6 2 4 2 2 2" xfId="16678" xr:uid="{00000000-0005-0000-0000-000026410000}"/>
    <cellStyle name="Normal 2 6 2 4 2 2 3" xfId="16679" xr:uid="{00000000-0005-0000-0000-000027410000}"/>
    <cellStyle name="Normal 2 6 2 4 2 2 4" xfId="16680" xr:uid="{00000000-0005-0000-0000-000028410000}"/>
    <cellStyle name="Normal 2 6 2 4 2 2 5" xfId="16681" xr:uid="{00000000-0005-0000-0000-000029410000}"/>
    <cellStyle name="Normal 2 6 2 4 2 3" xfId="16682" xr:uid="{00000000-0005-0000-0000-00002A410000}"/>
    <cellStyle name="Normal 2 6 2 4 2 3 2" xfId="16683" xr:uid="{00000000-0005-0000-0000-00002B410000}"/>
    <cellStyle name="Normal 2 6 2 4 2 3 3" xfId="16684" xr:uid="{00000000-0005-0000-0000-00002C410000}"/>
    <cellStyle name="Normal 2 6 2 4 2 3 4" xfId="16685" xr:uid="{00000000-0005-0000-0000-00002D410000}"/>
    <cellStyle name="Normal 2 6 2 4 2 3 5" xfId="16686" xr:uid="{00000000-0005-0000-0000-00002E410000}"/>
    <cellStyle name="Normal 2 6 2 4 2 4" xfId="16687" xr:uid="{00000000-0005-0000-0000-00002F410000}"/>
    <cellStyle name="Normal 2 6 2 4 2 5" xfId="16688" xr:uid="{00000000-0005-0000-0000-000030410000}"/>
    <cellStyle name="Normal 2 6 2 4 2 6" xfId="16689" xr:uid="{00000000-0005-0000-0000-000031410000}"/>
    <cellStyle name="Normal 2 6 2 4 2 7" xfId="16690" xr:uid="{00000000-0005-0000-0000-000032410000}"/>
    <cellStyle name="Normal 2 6 2 4 2 8" xfId="16691" xr:uid="{00000000-0005-0000-0000-000033410000}"/>
    <cellStyle name="Normal 2 6 2 4 2 9" xfId="16692" xr:uid="{00000000-0005-0000-0000-000034410000}"/>
    <cellStyle name="Normal 2 6 2 4 3" xfId="16693" xr:uid="{00000000-0005-0000-0000-000035410000}"/>
    <cellStyle name="Normal 2 6 2 4 3 2" xfId="16694" xr:uid="{00000000-0005-0000-0000-000036410000}"/>
    <cellStyle name="Normal 2 6 2 4 3 3" xfId="16695" xr:uid="{00000000-0005-0000-0000-000037410000}"/>
    <cellStyle name="Normal 2 6 2 4 3 4" xfId="16696" xr:uid="{00000000-0005-0000-0000-000038410000}"/>
    <cellStyle name="Normal 2 6 2 4 3 5" xfId="16697" xr:uid="{00000000-0005-0000-0000-000039410000}"/>
    <cellStyle name="Normal 2 6 2 4 4" xfId="16698" xr:uid="{00000000-0005-0000-0000-00003A410000}"/>
    <cellStyle name="Normal 2 6 2 4 4 2" xfId="16699" xr:uid="{00000000-0005-0000-0000-00003B410000}"/>
    <cellStyle name="Normal 2 6 2 4 4 3" xfId="16700" xr:uid="{00000000-0005-0000-0000-00003C410000}"/>
    <cellStyle name="Normal 2 6 2 4 4 4" xfId="16701" xr:uid="{00000000-0005-0000-0000-00003D410000}"/>
    <cellStyle name="Normal 2 6 2 4 4 5" xfId="16702" xr:uid="{00000000-0005-0000-0000-00003E410000}"/>
    <cellStyle name="Normal 2 6 2 4 5" xfId="16703" xr:uid="{00000000-0005-0000-0000-00003F410000}"/>
    <cellStyle name="Normal 2 6 2 4 6" xfId="16704" xr:uid="{00000000-0005-0000-0000-000040410000}"/>
    <cellStyle name="Normal 2 6 2 4 7" xfId="16705" xr:uid="{00000000-0005-0000-0000-000041410000}"/>
    <cellStyle name="Normal 2 6 2 4 8" xfId="16706" xr:uid="{00000000-0005-0000-0000-000042410000}"/>
    <cellStyle name="Normal 2 6 2 4 9" xfId="16707" xr:uid="{00000000-0005-0000-0000-000043410000}"/>
    <cellStyle name="Normal 2 6 2 5" xfId="16708" xr:uid="{00000000-0005-0000-0000-000044410000}"/>
    <cellStyle name="Normal 2 6 2 5 2" xfId="16709" xr:uid="{00000000-0005-0000-0000-000045410000}"/>
    <cellStyle name="Normal 2 6 2 5 2 2" xfId="16710" xr:uid="{00000000-0005-0000-0000-000046410000}"/>
    <cellStyle name="Normal 2 6 2 5 2 3" xfId="16711" xr:uid="{00000000-0005-0000-0000-000047410000}"/>
    <cellStyle name="Normal 2 6 2 5 2 4" xfId="16712" xr:uid="{00000000-0005-0000-0000-000048410000}"/>
    <cellStyle name="Normal 2 6 2 5 2 5" xfId="16713" xr:uid="{00000000-0005-0000-0000-000049410000}"/>
    <cellStyle name="Normal 2 6 2 5 3" xfId="16714" xr:uid="{00000000-0005-0000-0000-00004A410000}"/>
    <cellStyle name="Normal 2 6 2 5 3 2" xfId="16715" xr:uid="{00000000-0005-0000-0000-00004B410000}"/>
    <cellStyle name="Normal 2 6 2 5 3 3" xfId="16716" xr:uid="{00000000-0005-0000-0000-00004C410000}"/>
    <cellStyle name="Normal 2 6 2 5 3 4" xfId="16717" xr:uid="{00000000-0005-0000-0000-00004D410000}"/>
    <cellStyle name="Normal 2 6 2 5 3 5" xfId="16718" xr:uid="{00000000-0005-0000-0000-00004E410000}"/>
    <cellStyle name="Normal 2 6 2 5 4" xfId="16719" xr:uid="{00000000-0005-0000-0000-00004F410000}"/>
    <cellStyle name="Normal 2 6 2 5 5" xfId="16720" xr:uid="{00000000-0005-0000-0000-000050410000}"/>
    <cellStyle name="Normal 2 6 2 5 6" xfId="16721" xr:uid="{00000000-0005-0000-0000-000051410000}"/>
    <cellStyle name="Normal 2 6 2 5 7" xfId="16722" xr:uid="{00000000-0005-0000-0000-000052410000}"/>
    <cellStyle name="Normal 2 6 2 5 8" xfId="16723" xr:uid="{00000000-0005-0000-0000-000053410000}"/>
    <cellStyle name="Normal 2 6 2 5 9" xfId="16724" xr:uid="{00000000-0005-0000-0000-000054410000}"/>
    <cellStyle name="Normal 2 6 2 6" xfId="16725" xr:uid="{00000000-0005-0000-0000-000055410000}"/>
    <cellStyle name="Normal 2 6 2 6 2" xfId="16726" xr:uid="{00000000-0005-0000-0000-000056410000}"/>
    <cellStyle name="Normal 2 6 2 6 2 2" xfId="16727" xr:uid="{00000000-0005-0000-0000-000057410000}"/>
    <cellStyle name="Normal 2 6 2 6 2 3" xfId="16728" xr:uid="{00000000-0005-0000-0000-000058410000}"/>
    <cellStyle name="Normal 2 6 2 6 2 4" xfId="16729" xr:uid="{00000000-0005-0000-0000-000059410000}"/>
    <cellStyle name="Normal 2 6 2 6 2 5" xfId="16730" xr:uid="{00000000-0005-0000-0000-00005A410000}"/>
    <cellStyle name="Normal 2 6 2 6 3" xfId="16731" xr:uid="{00000000-0005-0000-0000-00005B410000}"/>
    <cellStyle name="Normal 2 6 2 6 3 2" xfId="16732" xr:uid="{00000000-0005-0000-0000-00005C410000}"/>
    <cellStyle name="Normal 2 6 2 6 3 3" xfId="16733" xr:uid="{00000000-0005-0000-0000-00005D410000}"/>
    <cellStyle name="Normal 2 6 2 6 3 4" xfId="16734" xr:uid="{00000000-0005-0000-0000-00005E410000}"/>
    <cellStyle name="Normal 2 6 2 6 3 5" xfId="16735" xr:uid="{00000000-0005-0000-0000-00005F410000}"/>
    <cellStyle name="Normal 2 6 2 6 4" xfId="16736" xr:uid="{00000000-0005-0000-0000-000060410000}"/>
    <cellStyle name="Normal 2 6 2 6 5" xfId="16737" xr:uid="{00000000-0005-0000-0000-000061410000}"/>
    <cellStyle name="Normal 2 6 2 6 6" xfId="16738" xr:uid="{00000000-0005-0000-0000-000062410000}"/>
    <cellStyle name="Normal 2 6 2 6 7" xfId="16739" xr:uid="{00000000-0005-0000-0000-000063410000}"/>
    <cellStyle name="Normal 2 6 2 6 8" xfId="16740" xr:uid="{00000000-0005-0000-0000-000064410000}"/>
    <cellStyle name="Normal 2 6 2 6 9" xfId="16741" xr:uid="{00000000-0005-0000-0000-000065410000}"/>
    <cellStyle name="Normal 2 6 2 7" xfId="16742" xr:uid="{00000000-0005-0000-0000-000066410000}"/>
    <cellStyle name="Normal 2 6 2 7 2" xfId="16743" xr:uid="{00000000-0005-0000-0000-000067410000}"/>
    <cellStyle name="Normal 2 6 2 7 3" xfId="16744" xr:uid="{00000000-0005-0000-0000-000068410000}"/>
    <cellStyle name="Normal 2 6 2 7 4" xfId="16745" xr:uid="{00000000-0005-0000-0000-000069410000}"/>
    <cellStyle name="Normal 2 6 2 7 5" xfId="16746" xr:uid="{00000000-0005-0000-0000-00006A410000}"/>
    <cellStyle name="Normal 2 6 2 8" xfId="16747" xr:uid="{00000000-0005-0000-0000-00006B410000}"/>
    <cellStyle name="Normal 2 6 2 8 2" xfId="16748" xr:uid="{00000000-0005-0000-0000-00006C410000}"/>
    <cellStyle name="Normal 2 6 2 8 3" xfId="16749" xr:uid="{00000000-0005-0000-0000-00006D410000}"/>
    <cellStyle name="Normal 2 6 2 8 4" xfId="16750" xr:uid="{00000000-0005-0000-0000-00006E410000}"/>
    <cellStyle name="Normal 2 6 2 8 5" xfId="16751" xr:uid="{00000000-0005-0000-0000-00006F410000}"/>
    <cellStyle name="Normal 2 6 2 9" xfId="16752" xr:uid="{00000000-0005-0000-0000-000070410000}"/>
    <cellStyle name="Normal 2 6 3" xfId="16753" xr:uid="{00000000-0005-0000-0000-000071410000}"/>
    <cellStyle name="Normal 2 6 3 10" xfId="16754" xr:uid="{00000000-0005-0000-0000-000072410000}"/>
    <cellStyle name="Normal 2 6 3 11" xfId="16755" xr:uid="{00000000-0005-0000-0000-000073410000}"/>
    <cellStyle name="Normal 2 6 3 2" xfId="16756" xr:uid="{00000000-0005-0000-0000-000074410000}"/>
    <cellStyle name="Normal 2 6 3 2 10" xfId="16757" xr:uid="{00000000-0005-0000-0000-000075410000}"/>
    <cellStyle name="Normal 2 6 3 2 2" xfId="16758" xr:uid="{00000000-0005-0000-0000-000076410000}"/>
    <cellStyle name="Normal 2 6 3 2 2 2" xfId="16759" xr:uid="{00000000-0005-0000-0000-000077410000}"/>
    <cellStyle name="Normal 2 6 3 2 2 3" xfId="16760" xr:uid="{00000000-0005-0000-0000-000078410000}"/>
    <cellStyle name="Normal 2 6 3 2 2 4" xfId="16761" xr:uid="{00000000-0005-0000-0000-000079410000}"/>
    <cellStyle name="Normal 2 6 3 2 2 5" xfId="16762" xr:uid="{00000000-0005-0000-0000-00007A410000}"/>
    <cellStyle name="Normal 2 6 3 2 2 6" xfId="16763" xr:uid="{00000000-0005-0000-0000-00007B410000}"/>
    <cellStyle name="Normal 2 6 3 2 3" xfId="16764" xr:uid="{00000000-0005-0000-0000-00007C410000}"/>
    <cellStyle name="Normal 2 6 3 2 3 2" xfId="16765" xr:uid="{00000000-0005-0000-0000-00007D410000}"/>
    <cellStyle name="Normal 2 6 3 2 3 3" xfId="16766" xr:uid="{00000000-0005-0000-0000-00007E410000}"/>
    <cellStyle name="Normal 2 6 3 2 3 4" xfId="16767" xr:uid="{00000000-0005-0000-0000-00007F410000}"/>
    <cellStyle name="Normal 2 6 3 2 3 5" xfId="16768" xr:uid="{00000000-0005-0000-0000-000080410000}"/>
    <cellStyle name="Normal 2 6 3 2 4" xfId="16769" xr:uid="{00000000-0005-0000-0000-000081410000}"/>
    <cellStyle name="Normal 2 6 3 2 5" xfId="16770" xr:uid="{00000000-0005-0000-0000-000082410000}"/>
    <cellStyle name="Normal 2 6 3 2 6" xfId="16771" xr:uid="{00000000-0005-0000-0000-000083410000}"/>
    <cellStyle name="Normal 2 6 3 2 7" xfId="16772" xr:uid="{00000000-0005-0000-0000-000084410000}"/>
    <cellStyle name="Normal 2 6 3 2 8" xfId="16773" xr:uid="{00000000-0005-0000-0000-000085410000}"/>
    <cellStyle name="Normal 2 6 3 2 9" xfId="16774" xr:uid="{00000000-0005-0000-0000-000086410000}"/>
    <cellStyle name="Normal 2 6 3 3" xfId="16775" xr:uid="{00000000-0005-0000-0000-000087410000}"/>
    <cellStyle name="Normal 2 6 3 3 2" xfId="16776" xr:uid="{00000000-0005-0000-0000-000088410000}"/>
    <cellStyle name="Normal 2 6 3 3 3" xfId="16777" xr:uid="{00000000-0005-0000-0000-000089410000}"/>
    <cellStyle name="Normal 2 6 3 3 4" xfId="16778" xr:uid="{00000000-0005-0000-0000-00008A410000}"/>
    <cellStyle name="Normal 2 6 3 3 5" xfId="16779" xr:uid="{00000000-0005-0000-0000-00008B410000}"/>
    <cellStyle name="Normal 2 6 3 3 6" xfId="16780" xr:uid="{00000000-0005-0000-0000-00008C410000}"/>
    <cellStyle name="Normal 2 6 3 4" xfId="16781" xr:uid="{00000000-0005-0000-0000-00008D410000}"/>
    <cellStyle name="Normal 2 6 3 4 2" xfId="16782" xr:uid="{00000000-0005-0000-0000-00008E410000}"/>
    <cellStyle name="Normal 2 6 3 4 3" xfId="16783" xr:uid="{00000000-0005-0000-0000-00008F410000}"/>
    <cellStyle name="Normal 2 6 3 4 4" xfId="16784" xr:uid="{00000000-0005-0000-0000-000090410000}"/>
    <cellStyle name="Normal 2 6 3 4 5" xfId="16785" xr:uid="{00000000-0005-0000-0000-000091410000}"/>
    <cellStyle name="Normal 2 6 3 5" xfId="16786" xr:uid="{00000000-0005-0000-0000-000092410000}"/>
    <cellStyle name="Normal 2 6 3 6" xfId="16787" xr:uid="{00000000-0005-0000-0000-000093410000}"/>
    <cellStyle name="Normal 2 6 3 7" xfId="16788" xr:uid="{00000000-0005-0000-0000-000094410000}"/>
    <cellStyle name="Normal 2 6 3 8" xfId="16789" xr:uid="{00000000-0005-0000-0000-000095410000}"/>
    <cellStyle name="Normal 2 6 3 9" xfId="16790" xr:uid="{00000000-0005-0000-0000-000096410000}"/>
    <cellStyle name="Normal 2 6 4" xfId="16791" xr:uid="{00000000-0005-0000-0000-000097410000}"/>
    <cellStyle name="Normal 2 6 4 10" xfId="16792" xr:uid="{00000000-0005-0000-0000-000098410000}"/>
    <cellStyle name="Normal 2 6 4 11" xfId="16793" xr:uid="{00000000-0005-0000-0000-000099410000}"/>
    <cellStyle name="Normal 2 6 4 2" xfId="16794" xr:uid="{00000000-0005-0000-0000-00009A410000}"/>
    <cellStyle name="Normal 2 6 4 2 10" xfId="16795" xr:uid="{00000000-0005-0000-0000-00009B410000}"/>
    <cellStyle name="Normal 2 6 4 2 2" xfId="16796" xr:uid="{00000000-0005-0000-0000-00009C410000}"/>
    <cellStyle name="Normal 2 6 4 2 2 2" xfId="16797" xr:uid="{00000000-0005-0000-0000-00009D410000}"/>
    <cellStyle name="Normal 2 6 4 2 2 3" xfId="16798" xr:uid="{00000000-0005-0000-0000-00009E410000}"/>
    <cellStyle name="Normal 2 6 4 2 2 4" xfId="16799" xr:uid="{00000000-0005-0000-0000-00009F410000}"/>
    <cellStyle name="Normal 2 6 4 2 2 5" xfId="16800" xr:uid="{00000000-0005-0000-0000-0000A0410000}"/>
    <cellStyle name="Normal 2 6 4 2 2 6" xfId="16801" xr:uid="{00000000-0005-0000-0000-0000A1410000}"/>
    <cellStyle name="Normal 2 6 4 2 3" xfId="16802" xr:uid="{00000000-0005-0000-0000-0000A2410000}"/>
    <cellStyle name="Normal 2 6 4 2 3 2" xfId="16803" xr:uid="{00000000-0005-0000-0000-0000A3410000}"/>
    <cellStyle name="Normal 2 6 4 2 3 3" xfId="16804" xr:uid="{00000000-0005-0000-0000-0000A4410000}"/>
    <cellStyle name="Normal 2 6 4 2 3 4" xfId="16805" xr:uid="{00000000-0005-0000-0000-0000A5410000}"/>
    <cellStyle name="Normal 2 6 4 2 3 5" xfId="16806" xr:uid="{00000000-0005-0000-0000-0000A6410000}"/>
    <cellStyle name="Normal 2 6 4 2 4" xfId="16807" xr:uid="{00000000-0005-0000-0000-0000A7410000}"/>
    <cellStyle name="Normal 2 6 4 2 5" xfId="16808" xr:uid="{00000000-0005-0000-0000-0000A8410000}"/>
    <cellStyle name="Normal 2 6 4 2 6" xfId="16809" xr:uid="{00000000-0005-0000-0000-0000A9410000}"/>
    <cellStyle name="Normal 2 6 4 2 7" xfId="16810" xr:uid="{00000000-0005-0000-0000-0000AA410000}"/>
    <cellStyle name="Normal 2 6 4 2 8" xfId="16811" xr:uid="{00000000-0005-0000-0000-0000AB410000}"/>
    <cellStyle name="Normal 2 6 4 2 9" xfId="16812" xr:uid="{00000000-0005-0000-0000-0000AC410000}"/>
    <cellStyle name="Normal 2 6 4 3" xfId="16813" xr:uid="{00000000-0005-0000-0000-0000AD410000}"/>
    <cellStyle name="Normal 2 6 4 3 2" xfId="16814" xr:uid="{00000000-0005-0000-0000-0000AE410000}"/>
    <cellStyle name="Normal 2 6 4 3 3" xfId="16815" xr:uid="{00000000-0005-0000-0000-0000AF410000}"/>
    <cellStyle name="Normal 2 6 4 3 4" xfId="16816" xr:uid="{00000000-0005-0000-0000-0000B0410000}"/>
    <cellStyle name="Normal 2 6 4 3 5" xfId="16817" xr:uid="{00000000-0005-0000-0000-0000B1410000}"/>
    <cellStyle name="Normal 2 6 4 3 6" xfId="16818" xr:uid="{00000000-0005-0000-0000-0000B2410000}"/>
    <cellStyle name="Normal 2 6 4 4" xfId="16819" xr:uid="{00000000-0005-0000-0000-0000B3410000}"/>
    <cellStyle name="Normal 2 6 4 4 2" xfId="16820" xr:uid="{00000000-0005-0000-0000-0000B4410000}"/>
    <cellStyle name="Normal 2 6 4 4 3" xfId="16821" xr:uid="{00000000-0005-0000-0000-0000B5410000}"/>
    <cellStyle name="Normal 2 6 4 4 4" xfId="16822" xr:uid="{00000000-0005-0000-0000-0000B6410000}"/>
    <cellStyle name="Normal 2 6 4 4 5" xfId="16823" xr:uid="{00000000-0005-0000-0000-0000B7410000}"/>
    <cellStyle name="Normal 2 6 4 5" xfId="16824" xr:uid="{00000000-0005-0000-0000-0000B8410000}"/>
    <cellStyle name="Normal 2 6 4 6" xfId="16825" xr:uid="{00000000-0005-0000-0000-0000B9410000}"/>
    <cellStyle name="Normal 2 6 4 7" xfId="16826" xr:uid="{00000000-0005-0000-0000-0000BA410000}"/>
    <cellStyle name="Normal 2 6 4 8" xfId="16827" xr:uid="{00000000-0005-0000-0000-0000BB410000}"/>
    <cellStyle name="Normal 2 6 4 9" xfId="16828" xr:uid="{00000000-0005-0000-0000-0000BC410000}"/>
    <cellStyle name="Normal 2 6 5" xfId="16829" xr:uid="{00000000-0005-0000-0000-0000BD410000}"/>
    <cellStyle name="Normal 2 6 5 10" xfId="16830" xr:uid="{00000000-0005-0000-0000-0000BE410000}"/>
    <cellStyle name="Normal 2 6 5 11" xfId="16831" xr:uid="{00000000-0005-0000-0000-0000BF410000}"/>
    <cellStyle name="Normal 2 6 5 2" xfId="16832" xr:uid="{00000000-0005-0000-0000-0000C0410000}"/>
    <cellStyle name="Normal 2 6 5 2 2" xfId="16833" xr:uid="{00000000-0005-0000-0000-0000C1410000}"/>
    <cellStyle name="Normal 2 6 5 2 2 2" xfId="16834" xr:uid="{00000000-0005-0000-0000-0000C2410000}"/>
    <cellStyle name="Normal 2 6 5 2 2 3" xfId="16835" xr:uid="{00000000-0005-0000-0000-0000C3410000}"/>
    <cellStyle name="Normal 2 6 5 2 2 4" xfId="16836" xr:uid="{00000000-0005-0000-0000-0000C4410000}"/>
    <cellStyle name="Normal 2 6 5 2 2 5" xfId="16837" xr:uid="{00000000-0005-0000-0000-0000C5410000}"/>
    <cellStyle name="Normal 2 6 5 2 3" xfId="16838" xr:uid="{00000000-0005-0000-0000-0000C6410000}"/>
    <cellStyle name="Normal 2 6 5 2 3 2" xfId="16839" xr:uid="{00000000-0005-0000-0000-0000C7410000}"/>
    <cellStyle name="Normal 2 6 5 2 3 3" xfId="16840" xr:uid="{00000000-0005-0000-0000-0000C8410000}"/>
    <cellStyle name="Normal 2 6 5 2 3 4" xfId="16841" xr:uid="{00000000-0005-0000-0000-0000C9410000}"/>
    <cellStyle name="Normal 2 6 5 2 3 5" xfId="16842" xr:uid="{00000000-0005-0000-0000-0000CA410000}"/>
    <cellStyle name="Normal 2 6 5 2 4" xfId="16843" xr:uid="{00000000-0005-0000-0000-0000CB410000}"/>
    <cellStyle name="Normal 2 6 5 2 5" xfId="16844" xr:uid="{00000000-0005-0000-0000-0000CC410000}"/>
    <cellStyle name="Normal 2 6 5 2 6" xfId="16845" xr:uid="{00000000-0005-0000-0000-0000CD410000}"/>
    <cellStyle name="Normal 2 6 5 2 7" xfId="16846" xr:uid="{00000000-0005-0000-0000-0000CE410000}"/>
    <cellStyle name="Normal 2 6 5 2 8" xfId="16847" xr:uid="{00000000-0005-0000-0000-0000CF410000}"/>
    <cellStyle name="Normal 2 6 5 2 9" xfId="16848" xr:uid="{00000000-0005-0000-0000-0000D0410000}"/>
    <cellStyle name="Normal 2 6 5 3" xfId="16849" xr:uid="{00000000-0005-0000-0000-0000D1410000}"/>
    <cellStyle name="Normal 2 6 5 3 2" xfId="16850" xr:uid="{00000000-0005-0000-0000-0000D2410000}"/>
    <cellStyle name="Normal 2 6 5 3 3" xfId="16851" xr:uid="{00000000-0005-0000-0000-0000D3410000}"/>
    <cellStyle name="Normal 2 6 5 3 4" xfId="16852" xr:uid="{00000000-0005-0000-0000-0000D4410000}"/>
    <cellStyle name="Normal 2 6 5 3 5" xfId="16853" xr:uid="{00000000-0005-0000-0000-0000D5410000}"/>
    <cellStyle name="Normal 2 6 5 4" xfId="16854" xr:uid="{00000000-0005-0000-0000-0000D6410000}"/>
    <cellStyle name="Normal 2 6 5 4 2" xfId="16855" xr:uid="{00000000-0005-0000-0000-0000D7410000}"/>
    <cellStyle name="Normal 2 6 5 4 3" xfId="16856" xr:uid="{00000000-0005-0000-0000-0000D8410000}"/>
    <cellStyle name="Normal 2 6 5 4 4" xfId="16857" xr:uid="{00000000-0005-0000-0000-0000D9410000}"/>
    <cellStyle name="Normal 2 6 5 4 5" xfId="16858" xr:uid="{00000000-0005-0000-0000-0000DA410000}"/>
    <cellStyle name="Normal 2 6 5 5" xfId="16859" xr:uid="{00000000-0005-0000-0000-0000DB410000}"/>
    <cellStyle name="Normal 2 6 5 6" xfId="16860" xr:uid="{00000000-0005-0000-0000-0000DC410000}"/>
    <cellStyle name="Normal 2 6 5 7" xfId="16861" xr:uid="{00000000-0005-0000-0000-0000DD410000}"/>
    <cellStyle name="Normal 2 6 5 8" xfId="16862" xr:uid="{00000000-0005-0000-0000-0000DE410000}"/>
    <cellStyle name="Normal 2 6 5 9" xfId="16863" xr:uid="{00000000-0005-0000-0000-0000DF410000}"/>
    <cellStyle name="Normal 2 6 6" xfId="16864" xr:uid="{00000000-0005-0000-0000-0000E0410000}"/>
    <cellStyle name="Normal 2 6 6 10" xfId="16865" xr:uid="{00000000-0005-0000-0000-0000E1410000}"/>
    <cellStyle name="Normal 2 6 6 11" xfId="16866" xr:uid="{00000000-0005-0000-0000-0000E2410000}"/>
    <cellStyle name="Normal 2 6 6 2" xfId="16867" xr:uid="{00000000-0005-0000-0000-0000E3410000}"/>
    <cellStyle name="Normal 2 6 6 2 2" xfId="16868" xr:uid="{00000000-0005-0000-0000-0000E4410000}"/>
    <cellStyle name="Normal 2 6 6 2 2 2" xfId="16869" xr:uid="{00000000-0005-0000-0000-0000E5410000}"/>
    <cellStyle name="Normal 2 6 6 2 2 3" xfId="16870" xr:uid="{00000000-0005-0000-0000-0000E6410000}"/>
    <cellStyle name="Normal 2 6 6 2 2 4" xfId="16871" xr:uid="{00000000-0005-0000-0000-0000E7410000}"/>
    <cellStyle name="Normal 2 6 6 2 2 5" xfId="16872" xr:uid="{00000000-0005-0000-0000-0000E8410000}"/>
    <cellStyle name="Normal 2 6 6 2 3" xfId="16873" xr:uid="{00000000-0005-0000-0000-0000E9410000}"/>
    <cellStyle name="Normal 2 6 6 2 3 2" xfId="16874" xr:uid="{00000000-0005-0000-0000-0000EA410000}"/>
    <cellStyle name="Normal 2 6 6 2 3 3" xfId="16875" xr:uid="{00000000-0005-0000-0000-0000EB410000}"/>
    <cellStyle name="Normal 2 6 6 2 3 4" xfId="16876" xr:uid="{00000000-0005-0000-0000-0000EC410000}"/>
    <cellStyle name="Normal 2 6 6 2 3 5" xfId="16877" xr:uid="{00000000-0005-0000-0000-0000ED410000}"/>
    <cellStyle name="Normal 2 6 6 2 4" xfId="16878" xr:uid="{00000000-0005-0000-0000-0000EE410000}"/>
    <cellStyle name="Normal 2 6 6 2 5" xfId="16879" xr:uid="{00000000-0005-0000-0000-0000EF410000}"/>
    <cellStyle name="Normal 2 6 6 2 6" xfId="16880" xr:uid="{00000000-0005-0000-0000-0000F0410000}"/>
    <cellStyle name="Normal 2 6 6 2 7" xfId="16881" xr:uid="{00000000-0005-0000-0000-0000F1410000}"/>
    <cellStyle name="Normal 2 6 6 2 8" xfId="16882" xr:uid="{00000000-0005-0000-0000-0000F2410000}"/>
    <cellStyle name="Normal 2 6 6 2 9" xfId="16883" xr:uid="{00000000-0005-0000-0000-0000F3410000}"/>
    <cellStyle name="Normal 2 6 6 3" xfId="16884" xr:uid="{00000000-0005-0000-0000-0000F4410000}"/>
    <cellStyle name="Normal 2 6 6 3 2" xfId="16885" xr:uid="{00000000-0005-0000-0000-0000F5410000}"/>
    <cellStyle name="Normal 2 6 6 3 3" xfId="16886" xr:uid="{00000000-0005-0000-0000-0000F6410000}"/>
    <cellStyle name="Normal 2 6 6 3 4" xfId="16887" xr:uid="{00000000-0005-0000-0000-0000F7410000}"/>
    <cellStyle name="Normal 2 6 6 3 5" xfId="16888" xr:uid="{00000000-0005-0000-0000-0000F8410000}"/>
    <cellStyle name="Normal 2 6 6 4" xfId="16889" xr:uid="{00000000-0005-0000-0000-0000F9410000}"/>
    <cellStyle name="Normal 2 6 6 4 2" xfId="16890" xr:uid="{00000000-0005-0000-0000-0000FA410000}"/>
    <cellStyle name="Normal 2 6 6 4 3" xfId="16891" xr:uid="{00000000-0005-0000-0000-0000FB410000}"/>
    <cellStyle name="Normal 2 6 6 4 4" xfId="16892" xr:uid="{00000000-0005-0000-0000-0000FC410000}"/>
    <cellStyle name="Normal 2 6 6 4 5" xfId="16893" xr:uid="{00000000-0005-0000-0000-0000FD410000}"/>
    <cellStyle name="Normal 2 6 6 5" xfId="16894" xr:uid="{00000000-0005-0000-0000-0000FE410000}"/>
    <cellStyle name="Normal 2 6 6 6" xfId="16895" xr:uid="{00000000-0005-0000-0000-0000FF410000}"/>
    <cellStyle name="Normal 2 6 6 7" xfId="16896" xr:uid="{00000000-0005-0000-0000-000000420000}"/>
    <cellStyle name="Normal 2 6 6 8" xfId="16897" xr:uid="{00000000-0005-0000-0000-000001420000}"/>
    <cellStyle name="Normal 2 6 6 9" xfId="16898" xr:uid="{00000000-0005-0000-0000-000002420000}"/>
    <cellStyle name="Normal 2 6 7" xfId="16899" xr:uid="{00000000-0005-0000-0000-000003420000}"/>
    <cellStyle name="Normal 2 6 7 2" xfId="16900" xr:uid="{00000000-0005-0000-0000-000004420000}"/>
    <cellStyle name="Normal 2 6 7 2 2" xfId="16901" xr:uid="{00000000-0005-0000-0000-000005420000}"/>
    <cellStyle name="Normal 2 6 7 2 3" xfId="16902" xr:uid="{00000000-0005-0000-0000-000006420000}"/>
    <cellStyle name="Normal 2 6 7 2 4" xfId="16903" xr:uid="{00000000-0005-0000-0000-000007420000}"/>
    <cellStyle name="Normal 2 6 7 2 5" xfId="16904" xr:uid="{00000000-0005-0000-0000-000008420000}"/>
    <cellStyle name="Normal 2 6 7 3" xfId="16905" xr:uid="{00000000-0005-0000-0000-000009420000}"/>
    <cellStyle name="Normal 2 6 7 3 2" xfId="16906" xr:uid="{00000000-0005-0000-0000-00000A420000}"/>
    <cellStyle name="Normal 2 6 7 3 3" xfId="16907" xr:uid="{00000000-0005-0000-0000-00000B420000}"/>
    <cellStyle name="Normal 2 6 7 3 4" xfId="16908" xr:uid="{00000000-0005-0000-0000-00000C420000}"/>
    <cellStyle name="Normal 2 6 7 3 5" xfId="16909" xr:uid="{00000000-0005-0000-0000-00000D420000}"/>
    <cellStyle name="Normal 2 6 7 4" xfId="16910" xr:uid="{00000000-0005-0000-0000-00000E420000}"/>
    <cellStyle name="Normal 2 6 7 5" xfId="16911" xr:uid="{00000000-0005-0000-0000-00000F420000}"/>
    <cellStyle name="Normal 2 6 7 6" xfId="16912" xr:uid="{00000000-0005-0000-0000-000010420000}"/>
    <cellStyle name="Normal 2 6 7 7" xfId="16913" xr:uid="{00000000-0005-0000-0000-000011420000}"/>
    <cellStyle name="Normal 2 6 7 8" xfId="16914" xr:uid="{00000000-0005-0000-0000-000012420000}"/>
    <cellStyle name="Normal 2 6 7 9" xfId="16915" xr:uid="{00000000-0005-0000-0000-000013420000}"/>
    <cellStyle name="Normal 2 6 8" xfId="16916" xr:uid="{00000000-0005-0000-0000-000014420000}"/>
    <cellStyle name="Normal 2 6 8 2" xfId="16917" xr:uid="{00000000-0005-0000-0000-000015420000}"/>
    <cellStyle name="Normal 2 6 8 2 2" xfId="16918" xr:uid="{00000000-0005-0000-0000-000016420000}"/>
    <cellStyle name="Normal 2 6 8 2 3" xfId="16919" xr:uid="{00000000-0005-0000-0000-000017420000}"/>
    <cellStyle name="Normal 2 6 8 2 4" xfId="16920" xr:uid="{00000000-0005-0000-0000-000018420000}"/>
    <cellStyle name="Normal 2 6 8 2 5" xfId="16921" xr:uid="{00000000-0005-0000-0000-000019420000}"/>
    <cellStyle name="Normal 2 6 8 3" xfId="16922" xr:uid="{00000000-0005-0000-0000-00001A420000}"/>
    <cellStyle name="Normal 2 6 8 3 2" xfId="16923" xr:uid="{00000000-0005-0000-0000-00001B420000}"/>
    <cellStyle name="Normal 2 6 8 3 3" xfId="16924" xr:uid="{00000000-0005-0000-0000-00001C420000}"/>
    <cellStyle name="Normal 2 6 8 3 4" xfId="16925" xr:uid="{00000000-0005-0000-0000-00001D420000}"/>
    <cellStyle name="Normal 2 6 8 3 5" xfId="16926" xr:uid="{00000000-0005-0000-0000-00001E420000}"/>
    <cellStyle name="Normal 2 6 8 4" xfId="16927" xr:uid="{00000000-0005-0000-0000-00001F420000}"/>
    <cellStyle name="Normal 2 6 8 5" xfId="16928" xr:uid="{00000000-0005-0000-0000-000020420000}"/>
    <cellStyle name="Normal 2 6 8 6" xfId="16929" xr:uid="{00000000-0005-0000-0000-000021420000}"/>
    <cellStyle name="Normal 2 6 8 7" xfId="16930" xr:uid="{00000000-0005-0000-0000-000022420000}"/>
    <cellStyle name="Normal 2 6 8 8" xfId="16931" xr:uid="{00000000-0005-0000-0000-000023420000}"/>
    <cellStyle name="Normal 2 6 8 9" xfId="16932" xr:uid="{00000000-0005-0000-0000-000024420000}"/>
    <cellStyle name="Normal 2 6 9" xfId="16933" xr:uid="{00000000-0005-0000-0000-000025420000}"/>
    <cellStyle name="Normal 2 6 9 2" xfId="16934" xr:uid="{00000000-0005-0000-0000-000026420000}"/>
    <cellStyle name="Normal 2 6 9 3" xfId="16935" xr:uid="{00000000-0005-0000-0000-000027420000}"/>
    <cellStyle name="Normal 2 6 9 4" xfId="16936" xr:uid="{00000000-0005-0000-0000-000028420000}"/>
    <cellStyle name="Normal 2 6 9 5" xfId="16937" xr:uid="{00000000-0005-0000-0000-000029420000}"/>
    <cellStyle name="Normal 2 7" xfId="16938" xr:uid="{00000000-0005-0000-0000-00002A420000}"/>
    <cellStyle name="Normal 2 7 2" xfId="16939" xr:uid="{00000000-0005-0000-0000-00002B420000}"/>
    <cellStyle name="Normal 2 7 2 2" xfId="16940" xr:uid="{00000000-0005-0000-0000-00002C420000}"/>
    <cellStyle name="Normal 2 7 3" xfId="16941" xr:uid="{00000000-0005-0000-0000-00002D420000}"/>
    <cellStyle name="Normal 2 8" xfId="16942" xr:uid="{00000000-0005-0000-0000-00002E420000}"/>
    <cellStyle name="Normal 2 8 2" xfId="16943" xr:uid="{00000000-0005-0000-0000-00002F420000}"/>
    <cellStyle name="Normal 2 8 2 2" xfId="16944" xr:uid="{00000000-0005-0000-0000-000030420000}"/>
    <cellStyle name="Normal 2 8 3" xfId="16945" xr:uid="{00000000-0005-0000-0000-000031420000}"/>
    <cellStyle name="Normal 2 9" xfId="16946" xr:uid="{00000000-0005-0000-0000-000032420000}"/>
    <cellStyle name="Normal 2 9 2" xfId="16947" xr:uid="{00000000-0005-0000-0000-000033420000}"/>
    <cellStyle name="Normal 2_Action Item List 01.27.10" xfId="16948" xr:uid="{00000000-0005-0000-0000-000034420000}"/>
    <cellStyle name="Normal 20" xfId="16949" xr:uid="{00000000-0005-0000-0000-000035420000}"/>
    <cellStyle name="Normal 20 2" xfId="16950" xr:uid="{00000000-0005-0000-0000-000036420000}"/>
    <cellStyle name="Normal 20 2 2" xfId="16951" xr:uid="{00000000-0005-0000-0000-000037420000}"/>
    <cellStyle name="Normal 20 2 2 2" xfId="16952" xr:uid="{00000000-0005-0000-0000-000038420000}"/>
    <cellStyle name="Normal 20 2 2 2 2" xfId="16953" xr:uid="{00000000-0005-0000-0000-000039420000}"/>
    <cellStyle name="Normal 20 2 2 3" xfId="16954" xr:uid="{00000000-0005-0000-0000-00003A420000}"/>
    <cellStyle name="Normal 20 2 2 3 2" xfId="16955" xr:uid="{00000000-0005-0000-0000-00003B420000}"/>
    <cellStyle name="Normal 20 2 2 3 2 2" xfId="16956" xr:uid="{00000000-0005-0000-0000-00003C420000}"/>
    <cellStyle name="Normal 20 2 2 3 3" xfId="16957" xr:uid="{00000000-0005-0000-0000-00003D420000}"/>
    <cellStyle name="Normal 20 2 2 4" xfId="16958" xr:uid="{00000000-0005-0000-0000-00003E420000}"/>
    <cellStyle name="Normal 20 2 2 4 2" xfId="16959" xr:uid="{00000000-0005-0000-0000-00003F420000}"/>
    <cellStyle name="Normal 20 2 2 4 2 2" xfId="16960" xr:uid="{00000000-0005-0000-0000-000040420000}"/>
    <cellStyle name="Normal 20 2 2 4 3" xfId="16961" xr:uid="{00000000-0005-0000-0000-000041420000}"/>
    <cellStyle name="Normal 20 2 2 5" xfId="16962" xr:uid="{00000000-0005-0000-0000-000042420000}"/>
    <cellStyle name="Normal 20 2 3" xfId="16963" xr:uid="{00000000-0005-0000-0000-000043420000}"/>
    <cellStyle name="Normal 20 2 3 2" xfId="16964" xr:uid="{00000000-0005-0000-0000-000044420000}"/>
    <cellStyle name="Normal 20 2 3 2 2" xfId="16965" xr:uid="{00000000-0005-0000-0000-000045420000}"/>
    <cellStyle name="Normal 20 2 3 3" xfId="16966" xr:uid="{00000000-0005-0000-0000-000046420000}"/>
    <cellStyle name="Normal 20 2 4" xfId="16967" xr:uid="{00000000-0005-0000-0000-000047420000}"/>
    <cellStyle name="Normal 20 2 4 2" xfId="16968" xr:uid="{00000000-0005-0000-0000-000048420000}"/>
    <cellStyle name="Normal 20 2 4 2 2" xfId="16969" xr:uid="{00000000-0005-0000-0000-000049420000}"/>
    <cellStyle name="Normal 20 2 4 3" xfId="16970" xr:uid="{00000000-0005-0000-0000-00004A420000}"/>
    <cellStyle name="Normal 20 2 5" xfId="16971" xr:uid="{00000000-0005-0000-0000-00004B420000}"/>
    <cellStyle name="Normal 20 2 5 2" xfId="16972" xr:uid="{00000000-0005-0000-0000-00004C420000}"/>
    <cellStyle name="Normal 20 2 5 2 2" xfId="16973" xr:uid="{00000000-0005-0000-0000-00004D420000}"/>
    <cellStyle name="Normal 20 2 5 3" xfId="16974" xr:uid="{00000000-0005-0000-0000-00004E420000}"/>
    <cellStyle name="Normal 20 2 6" xfId="16975" xr:uid="{00000000-0005-0000-0000-00004F420000}"/>
    <cellStyle name="Normal 20 3" xfId="16976" xr:uid="{00000000-0005-0000-0000-000050420000}"/>
    <cellStyle name="Normal 20 3 2" xfId="16977" xr:uid="{00000000-0005-0000-0000-000051420000}"/>
    <cellStyle name="Normal 20 3 2 2" xfId="16978" xr:uid="{00000000-0005-0000-0000-000052420000}"/>
    <cellStyle name="Normal 20 3 3" xfId="16979" xr:uid="{00000000-0005-0000-0000-000053420000}"/>
    <cellStyle name="Normal 20 3 3 2" xfId="16980" xr:uid="{00000000-0005-0000-0000-000054420000}"/>
    <cellStyle name="Normal 20 3 3 2 2" xfId="16981" xr:uid="{00000000-0005-0000-0000-000055420000}"/>
    <cellStyle name="Normal 20 3 3 3" xfId="16982" xr:uid="{00000000-0005-0000-0000-000056420000}"/>
    <cellStyle name="Normal 20 3 4" xfId="16983" xr:uid="{00000000-0005-0000-0000-000057420000}"/>
    <cellStyle name="Normal 20 3 4 2" xfId="16984" xr:uid="{00000000-0005-0000-0000-000058420000}"/>
    <cellStyle name="Normal 20 3 4 2 2" xfId="16985" xr:uid="{00000000-0005-0000-0000-000059420000}"/>
    <cellStyle name="Normal 20 3 4 3" xfId="16986" xr:uid="{00000000-0005-0000-0000-00005A420000}"/>
    <cellStyle name="Normal 20 3 5" xfId="16987" xr:uid="{00000000-0005-0000-0000-00005B420000}"/>
    <cellStyle name="Normal 20 4" xfId="16988" xr:uid="{00000000-0005-0000-0000-00005C420000}"/>
    <cellStyle name="Normal 20 4 2" xfId="16989" xr:uid="{00000000-0005-0000-0000-00005D420000}"/>
    <cellStyle name="Normal 20 4 2 2" xfId="16990" xr:uid="{00000000-0005-0000-0000-00005E420000}"/>
    <cellStyle name="Normal 20 4 2 2 2" xfId="16991" xr:uid="{00000000-0005-0000-0000-00005F420000}"/>
    <cellStyle name="Normal 20 4 2 3" xfId="16992" xr:uid="{00000000-0005-0000-0000-000060420000}"/>
    <cellStyle name="Normal 20 4 2 3 2" xfId="16993" xr:uid="{00000000-0005-0000-0000-000061420000}"/>
    <cellStyle name="Normal 20 4 2 3 2 2" xfId="16994" xr:uid="{00000000-0005-0000-0000-000062420000}"/>
    <cellStyle name="Normal 20 4 2 3 3" xfId="16995" xr:uid="{00000000-0005-0000-0000-000063420000}"/>
    <cellStyle name="Normal 20 4 2 4" xfId="16996" xr:uid="{00000000-0005-0000-0000-000064420000}"/>
    <cellStyle name="Normal 20 4 3" xfId="16997" xr:uid="{00000000-0005-0000-0000-000065420000}"/>
    <cellStyle name="Normal 20 4 3 2" xfId="16998" xr:uid="{00000000-0005-0000-0000-000066420000}"/>
    <cellStyle name="Normal 20 4 3 2 2" xfId="16999" xr:uid="{00000000-0005-0000-0000-000067420000}"/>
    <cellStyle name="Normal 20 4 3 3" xfId="17000" xr:uid="{00000000-0005-0000-0000-000068420000}"/>
    <cellStyle name="Normal 20 4 4" xfId="17001" xr:uid="{00000000-0005-0000-0000-000069420000}"/>
    <cellStyle name="Normal 20 4 4 2" xfId="17002" xr:uid="{00000000-0005-0000-0000-00006A420000}"/>
    <cellStyle name="Normal 20 4 4 2 2" xfId="17003" xr:uid="{00000000-0005-0000-0000-00006B420000}"/>
    <cellStyle name="Normal 20 4 4 3" xfId="17004" xr:uid="{00000000-0005-0000-0000-00006C420000}"/>
    <cellStyle name="Normal 20 4 5" xfId="17005" xr:uid="{00000000-0005-0000-0000-00006D420000}"/>
    <cellStyle name="Normal 20 4 5 2" xfId="17006" xr:uid="{00000000-0005-0000-0000-00006E420000}"/>
    <cellStyle name="Normal 20 4 5 2 2" xfId="17007" xr:uid="{00000000-0005-0000-0000-00006F420000}"/>
    <cellStyle name="Normal 20 4 5 3" xfId="17008" xr:uid="{00000000-0005-0000-0000-000070420000}"/>
    <cellStyle name="Normal 20 4 6" xfId="17009" xr:uid="{00000000-0005-0000-0000-000071420000}"/>
    <cellStyle name="Normal 20 5" xfId="17010" xr:uid="{00000000-0005-0000-0000-000072420000}"/>
    <cellStyle name="Normal 200" xfId="17011" xr:uid="{00000000-0005-0000-0000-000073420000}"/>
    <cellStyle name="Normal 200 2" xfId="17012" xr:uid="{00000000-0005-0000-0000-000074420000}"/>
    <cellStyle name="Normal 200 2 2" xfId="17013" xr:uid="{00000000-0005-0000-0000-000075420000}"/>
    <cellStyle name="Normal 200 2 2 2" xfId="17014" xr:uid="{00000000-0005-0000-0000-000076420000}"/>
    <cellStyle name="Normal 200 2 2 2 2" xfId="17015" xr:uid="{00000000-0005-0000-0000-000077420000}"/>
    <cellStyle name="Normal 200 2 2 3" xfId="17016" xr:uid="{00000000-0005-0000-0000-000078420000}"/>
    <cellStyle name="Normal 200 2 2 3 2" xfId="17017" xr:uid="{00000000-0005-0000-0000-000079420000}"/>
    <cellStyle name="Normal 200 2 2 3 2 2" xfId="17018" xr:uid="{00000000-0005-0000-0000-00007A420000}"/>
    <cellStyle name="Normal 200 2 2 3 3" xfId="17019" xr:uid="{00000000-0005-0000-0000-00007B420000}"/>
    <cellStyle name="Normal 200 2 2 4" xfId="17020" xr:uid="{00000000-0005-0000-0000-00007C420000}"/>
    <cellStyle name="Normal 200 2 2 4 2" xfId="17021" xr:uid="{00000000-0005-0000-0000-00007D420000}"/>
    <cellStyle name="Normal 200 2 2 4 2 2" xfId="17022" xr:uid="{00000000-0005-0000-0000-00007E420000}"/>
    <cellStyle name="Normal 200 2 2 4 3" xfId="17023" xr:uid="{00000000-0005-0000-0000-00007F420000}"/>
    <cellStyle name="Normal 200 2 2 5" xfId="17024" xr:uid="{00000000-0005-0000-0000-000080420000}"/>
    <cellStyle name="Normal 200 2 3" xfId="17025" xr:uid="{00000000-0005-0000-0000-000081420000}"/>
    <cellStyle name="Normal 200 2 3 2" xfId="17026" xr:uid="{00000000-0005-0000-0000-000082420000}"/>
    <cellStyle name="Normal 200 2 3 2 2" xfId="17027" xr:uid="{00000000-0005-0000-0000-000083420000}"/>
    <cellStyle name="Normal 200 2 3 2 2 2" xfId="17028" xr:uid="{00000000-0005-0000-0000-000084420000}"/>
    <cellStyle name="Normal 200 2 3 2 3" xfId="17029" xr:uid="{00000000-0005-0000-0000-000085420000}"/>
    <cellStyle name="Normal 200 2 3 2 3 2" xfId="17030" xr:uid="{00000000-0005-0000-0000-000086420000}"/>
    <cellStyle name="Normal 200 2 3 2 3 2 2" xfId="17031" xr:uid="{00000000-0005-0000-0000-000087420000}"/>
    <cellStyle name="Normal 200 2 3 2 3 3" xfId="17032" xr:uid="{00000000-0005-0000-0000-000088420000}"/>
    <cellStyle name="Normal 200 2 3 2 4" xfId="17033" xr:uid="{00000000-0005-0000-0000-000089420000}"/>
    <cellStyle name="Normal 200 2 3 3" xfId="17034" xr:uid="{00000000-0005-0000-0000-00008A420000}"/>
    <cellStyle name="Normal 200 2 3 3 2" xfId="17035" xr:uid="{00000000-0005-0000-0000-00008B420000}"/>
    <cellStyle name="Normal 200 2 3 3 2 2" xfId="17036" xr:uid="{00000000-0005-0000-0000-00008C420000}"/>
    <cellStyle name="Normal 200 2 3 3 3" xfId="17037" xr:uid="{00000000-0005-0000-0000-00008D420000}"/>
    <cellStyle name="Normal 200 2 3 4" xfId="17038" xr:uid="{00000000-0005-0000-0000-00008E420000}"/>
    <cellStyle name="Normal 200 2 3 4 2" xfId="17039" xr:uid="{00000000-0005-0000-0000-00008F420000}"/>
    <cellStyle name="Normal 200 2 3 4 2 2" xfId="17040" xr:uid="{00000000-0005-0000-0000-000090420000}"/>
    <cellStyle name="Normal 200 2 3 4 3" xfId="17041" xr:uid="{00000000-0005-0000-0000-000091420000}"/>
    <cellStyle name="Normal 200 2 3 5" xfId="17042" xr:uid="{00000000-0005-0000-0000-000092420000}"/>
    <cellStyle name="Normal 200 2 3 5 2" xfId="17043" xr:uid="{00000000-0005-0000-0000-000093420000}"/>
    <cellStyle name="Normal 200 2 3 5 2 2" xfId="17044" xr:uid="{00000000-0005-0000-0000-000094420000}"/>
    <cellStyle name="Normal 200 2 3 5 3" xfId="17045" xr:uid="{00000000-0005-0000-0000-000095420000}"/>
    <cellStyle name="Normal 200 2 3 6" xfId="17046" xr:uid="{00000000-0005-0000-0000-000096420000}"/>
    <cellStyle name="Normal 200 2 4" xfId="17047" xr:uid="{00000000-0005-0000-0000-000097420000}"/>
    <cellStyle name="Normal 200 2 4 2" xfId="17048" xr:uid="{00000000-0005-0000-0000-000098420000}"/>
    <cellStyle name="Normal 200 2 4 2 2" xfId="17049" xr:uid="{00000000-0005-0000-0000-000099420000}"/>
    <cellStyle name="Normal 200 2 4 3" xfId="17050" xr:uid="{00000000-0005-0000-0000-00009A420000}"/>
    <cellStyle name="Normal 200 2 5" xfId="17051" xr:uid="{00000000-0005-0000-0000-00009B420000}"/>
    <cellStyle name="Normal 200 2 5 2" xfId="17052" xr:uid="{00000000-0005-0000-0000-00009C420000}"/>
    <cellStyle name="Normal 200 2 5 2 2" xfId="17053" xr:uid="{00000000-0005-0000-0000-00009D420000}"/>
    <cellStyle name="Normal 200 2 5 3" xfId="17054" xr:uid="{00000000-0005-0000-0000-00009E420000}"/>
    <cellStyle name="Normal 200 2 6" xfId="17055" xr:uid="{00000000-0005-0000-0000-00009F420000}"/>
    <cellStyle name="Normal 200 2 6 2" xfId="17056" xr:uid="{00000000-0005-0000-0000-0000A0420000}"/>
    <cellStyle name="Normal 200 2 6 2 2" xfId="17057" xr:uid="{00000000-0005-0000-0000-0000A1420000}"/>
    <cellStyle name="Normal 200 2 6 3" xfId="17058" xr:uid="{00000000-0005-0000-0000-0000A2420000}"/>
    <cellStyle name="Normal 200 2 7" xfId="17059" xr:uid="{00000000-0005-0000-0000-0000A3420000}"/>
    <cellStyle name="Normal 200 3" xfId="17060" xr:uid="{00000000-0005-0000-0000-0000A4420000}"/>
    <cellStyle name="Normal 200 3 2" xfId="17061" xr:uid="{00000000-0005-0000-0000-0000A5420000}"/>
    <cellStyle name="Normal 200 3 2 2" xfId="17062" xr:uid="{00000000-0005-0000-0000-0000A6420000}"/>
    <cellStyle name="Normal 200 3 3" xfId="17063" xr:uid="{00000000-0005-0000-0000-0000A7420000}"/>
    <cellStyle name="Normal 200 3 3 2" xfId="17064" xr:uid="{00000000-0005-0000-0000-0000A8420000}"/>
    <cellStyle name="Normal 200 3 3 2 2" xfId="17065" xr:uid="{00000000-0005-0000-0000-0000A9420000}"/>
    <cellStyle name="Normal 200 3 3 3" xfId="17066" xr:uid="{00000000-0005-0000-0000-0000AA420000}"/>
    <cellStyle name="Normal 200 3 4" xfId="17067" xr:uid="{00000000-0005-0000-0000-0000AB420000}"/>
    <cellStyle name="Normal 200 3 4 2" xfId="17068" xr:uid="{00000000-0005-0000-0000-0000AC420000}"/>
    <cellStyle name="Normal 200 3 4 2 2" xfId="17069" xr:uid="{00000000-0005-0000-0000-0000AD420000}"/>
    <cellStyle name="Normal 200 3 4 3" xfId="17070" xr:uid="{00000000-0005-0000-0000-0000AE420000}"/>
    <cellStyle name="Normal 200 3 5" xfId="17071" xr:uid="{00000000-0005-0000-0000-0000AF420000}"/>
    <cellStyle name="Normal 200 4" xfId="17072" xr:uid="{00000000-0005-0000-0000-0000B0420000}"/>
    <cellStyle name="Normal 200 4 2" xfId="17073" xr:uid="{00000000-0005-0000-0000-0000B1420000}"/>
    <cellStyle name="Normal 200 4 2 2" xfId="17074" xr:uid="{00000000-0005-0000-0000-0000B2420000}"/>
    <cellStyle name="Normal 200 4 2 2 2" xfId="17075" xr:uid="{00000000-0005-0000-0000-0000B3420000}"/>
    <cellStyle name="Normal 200 4 2 3" xfId="17076" xr:uid="{00000000-0005-0000-0000-0000B4420000}"/>
    <cellStyle name="Normal 200 4 2 3 2" xfId="17077" xr:uid="{00000000-0005-0000-0000-0000B5420000}"/>
    <cellStyle name="Normal 200 4 2 3 2 2" xfId="17078" xr:uid="{00000000-0005-0000-0000-0000B6420000}"/>
    <cellStyle name="Normal 200 4 2 3 3" xfId="17079" xr:uid="{00000000-0005-0000-0000-0000B7420000}"/>
    <cellStyle name="Normal 200 4 2 4" xfId="17080" xr:uid="{00000000-0005-0000-0000-0000B8420000}"/>
    <cellStyle name="Normal 200 4 3" xfId="17081" xr:uid="{00000000-0005-0000-0000-0000B9420000}"/>
    <cellStyle name="Normal 200 4 3 2" xfId="17082" xr:uid="{00000000-0005-0000-0000-0000BA420000}"/>
    <cellStyle name="Normal 200 4 3 2 2" xfId="17083" xr:uid="{00000000-0005-0000-0000-0000BB420000}"/>
    <cellStyle name="Normal 200 4 3 3" xfId="17084" xr:uid="{00000000-0005-0000-0000-0000BC420000}"/>
    <cellStyle name="Normal 200 4 4" xfId="17085" xr:uid="{00000000-0005-0000-0000-0000BD420000}"/>
    <cellStyle name="Normal 200 4 4 2" xfId="17086" xr:uid="{00000000-0005-0000-0000-0000BE420000}"/>
    <cellStyle name="Normal 200 4 4 2 2" xfId="17087" xr:uid="{00000000-0005-0000-0000-0000BF420000}"/>
    <cellStyle name="Normal 200 4 4 3" xfId="17088" xr:uid="{00000000-0005-0000-0000-0000C0420000}"/>
    <cellStyle name="Normal 200 4 5" xfId="17089" xr:uid="{00000000-0005-0000-0000-0000C1420000}"/>
    <cellStyle name="Normal 200 4 5 2" xfId="17090" xr:uid="{00000000-0005-0000-0000-0000C2420000}"/>
    <cellStyle name="Normal 200 4 5 2 2" xfId="17091" xr:uid="{00000000-0005-0000-0000-0000C3420000}"/>
    <cellStyle name="Normal 200 4 5 3" xfId="17092" xr:uid="{00000000-0005-0000-0000-0000C4420000}"/>
    <cellStyle name="Normal 200 4 6" xfId="17093" xr:uid="{00000000-0005-0000-0000-0000C5420000}"/>
    <cellStyle name="Normal 200 5" xfId="17094" xr:uid="{00000000-0005-0000-0000-0000C6420000}"/>
    <cellStyle name="Normal 200 5 2" xfId="17095" xr:uid="{00000000-0005-0000-0000-0000C7420000}"/>
    <cellStyle name="Normal 200 5 2 2" xfId="17096" xr:uid="{00000000-0005-0000-0000-0000C8420000}"/>
    <cellStyle name="Normal 200 5 3" xfId="17097" xr:uid="{00000000-0005-0000-0000-0000C9420000}"/>
    <cellStyle name="Normal 200 6" xfId="17098" xr:uid="{00000000-0005-0000-0000-0000CA420000}"/>
    <cellStyle name="Normal 200 6 2" xfId="17099" xr:uid="{00000000-0005-0000-0000-0000CB420000}"/>
    <cellStyle name="Normal 200 6 2 2" xfId="17100" xr:uid="{00000000-0005-0000-0000-0000CC420000}"/>
    <cellStyle name="Normal 200 6 3" xfId="17101" xr:uid="{00000000-0005-0000-0000-0000CD420000}"/>
    <cellStyle name="Normal 200 7" xfId="17102" xr:uid="{00000000-0005-0000-0000-0000CE420000}"/>
    <cellStyle name="Normal 200 7 2" xfId="17103" xr:uid="{00000000-0005-0000-0000-0000CF420000}"/>
    <cellStyle name="Normal 200 7 2 2" xfId="17104" xr:uid="{00000000-0005-0000-0000-0000D0420000}"/>
    <cellStyle name="Normal 200 7 3" xfId="17105" xr:uid="{00000000-0005-0000-0000-0000D1420000}"/>
    <cellStyle name="Normal 200 8" xfId="17106" xr:uid="{00000000-0005-0000-0000-0000D2420000}"/>
    <cellStyle name="Normal 201" xfId="17107" xr:uid="{00000000-0005-0000-0000-0000D3420000}"/>
    <cellStyle name="Normal 201 2" xfId="17108" xr:uid="{00000000-0005-0000-0000-0000D4420000}"/>
    <cellStyle name="Normal 201 2 2" xfId="17109" xr:uid="{00000000-0005-0000-0000-0000D5420000}"/>
    <cellStyle name="Normal 201 2 2 2" xfId="17110" xr:uid="{00000000-0005-0000-0000-0000D6420000}"/>
    <cellStyle name="Normal 201 2 2 2 2" xfId="17111" xr:uid="{00000000-0005-0000-0000-0000D7420000}"/>
    <cellStyle name="Normal 201 2 2 3" xfId="17112" xr:uid="{00000000-0005-0000-0000-0000D8420000}"/>
    <cellStyle name="Normal 201 2 2 3 2" xfId="17113" xr:uid="{00000000-0005-0000-0000-0000D9420000}"/>
    <cellStyle name="Normal 201 2 2 3 2 2" xfId="17114" xr:uid="{00000000-0005-0000-0000-0000DA420000}"/>
    <cellStyle name="Normal 201 2 2 3 3" xfId="17115" xr:uid="{00000000-0005-0000-0000-0000DB420000}"/>
    <cellStyle name="Normal 201 2 2 4" xfId="17116" xr:uid="{00000000-0005-0000-0000-0000DC420000}"/>
    <cellStyle name="Normal 201 2 2 4 2" xfId="17117" xr:uid="{00000000-0005-0000-0000-0000DD420000}"/>
    <cellStyle name="Normal 201 2 2 4 2 2" xfId="17118" xr:uid="{00000000-0005-0000-0000-0000DE420000}"/>
    <cellStyle name="Normal 201 2 2 4 3" xfId="17119" xr:uid="{00000000-0005-0000-0000-0000DF420000}"/>
    <cellStyle name="Normal 201 2 2 5" xfId="17120" xr:uid="{00000000-0005-0000-0000-0000E0420000}"/>
    <cellStyle name="Normal 201 2 3" xfId="17121" xr:uid="{00000000-0005-0000-0000-0000E1420000}"/>
    <cellStyle name="Normal 201 2 3 2" xfId="17122" xr:uid="{00000000-0005-0000-0000-0000E2420000}"/>
    <cellStyle name="Normal 201 2 3 2 2" xfId="17123" xr:uid="{00000000-0005-0000-0000-0000E3420000}"/>
    <cellStyle name="Normal 201 2 3 2 2 2" xfId="17124" xr:uid="{00000000-0005-0000-0000-0000E4420000}"/>
    <cellStyle name="Normal 201 2 3 2 3" xfId="17125" xr:uid="{00000000-0005-0000-0000-0000E5420000}"/>
    <cellStyle name="Normal 201 2 3 2 3 2" xfId="17126" xr:uid="{00000000-0005-0000-0000-0000E6420000}"/>
    <cellStyle name="Normal 201 2 3 2 3 2 2" xfId="17127" xr:uid="{00000000-0005-0000-0000-0000E7420000}"/>
    <cellStyle name="Normal 201 2 3 2 3 3" xfId="17128" xr:uid="{00000000-0005-0000-0000-0000E8420000}"/>
    <cellStyle name="Normal 201 2 3 2 4" xfId="17129" xr:uid="{00000000-0005-0000-0000-0000E9420000}"/>
    <cellStyle name="Normal 201 2 3 3" xfId="17130" xr:uid="{00000000-0005-0000-0000-0000EA420000}"/>
    <cellStyle name="Normal 201 2 3 3 2" xfId="17131" xr:uid="{00000000-0005-0000-0000-0000EB420000}"/>
    <cellStyle name="Normal 201 2 3 3 2 2" xfId="17132" xr:uid="{00000000-0005-0000-0000-0000EC420000}"/>
    <cellStyle name="Normal 201 2 3 3 3" xfId="17133" xr:uid="{00000000-0005-0000-0000-0000ED420000}"/>
    <cellStyle name="Normal 201 2 3 4" xfId="17134" xr:uid="{00000000-0005-0000-0000-0000EE420000}"/>
    <cellStyle name="Normal 201 2 3 4 2" xfId="17135" xr:uid="{00000000-0005-0000-0000-0000EF420000}"/>
    <cellStyle name="Normal 201 2 3 4 2 2" xfId="17136" xr:uid="{00000000-0005-0000-0000-0000F0420000}"/>
    <cellStyle name="Normal 201 2 3 4 3" xfId="17137" xr:uid="{00000000-0005-0000-0000-0000F1420000}"/>
    <cellStyle name="Normal 201 2 3 5" xfId="17138" xr:uid="{00000000-0005-0000-0000-0000F2420000}"/>
    <cellStyle name="Normal 201 2 3 5 2" xfId="17139" xr:uid="{00000000-0005-0000-0000-0000F3420000}"/>
    <cellStyle name="Normal 201 2 3 5 2 2" xfId="17140" xr:uid="{00000000-0005-0000-0000-0000F4420000}"/>
    <cellStyle name="Normal 201 2 3 5 3" xfId="17141" xr:uid="{00000000-0005-0000-0000-0000F5420000}"/>
    <cellStyle name="Normal 201 2 3 6" xfId="17142" xr:uid="{00000000-0005-0000-0000-0000F6420000}"/>
    <cellStyle name="Normal 201 2 4" xfId="17143" xr:uid="{00000000-0005-0000-0000-0000F7420000}"/>
    <cellStyle name="Normal 201 2 4 2" xfId="17144" xr:uid="{00000000-0005-0000-0000-0000F8420000}"/>
    <cellStyle name="Normal 201 2 4 2 2" xfId="17145" xr:uid="{00000000-0005-0000-0000-0000F9420000}"/>
    <cellStyle name="Normal 201 2 4 3" xfId="17146" xr:uid="{00000000-0005-0000-0000-0000FA420000}"/>
    <cellStyle name="Normal 201 2 5" xfId="17147" xr:uid="{00000000-0005-0000-0000-0000FB420000}"/>
    <cellStyle name="Normal 201 2 5 2" xfId="17148" xr:uid="{00000000-0005-0000-0000-0000FC420000}"/>
    <cellStyle name="Normal 201 2 5 2 2" xfId="17149" xr:uid="{00000000-0005-0000-0000-0000FD420000}"/>
    <cellStyle name="Normal 201 2 5 3" xfId="17150" xr:uid="{00000000-0005-0000-0000-0000FE420000}"/>
    <cellStyle name="Normal 201 2 6" xfId="17151" xr:uid="{00000000-0005-0000-0000-0000FF420000}"/>
    <cellStyle name="Normal 201 2 6 2" xfId="17152" xr:uid="{00000000-0005-0000-0000-000000430000}"/>
    <cellStyle name="Normal 201 2 6 2 2" xfId="17153" xr:uid="{00000000-0005-0000-0000-000001430000}"/>
    <cellStyle name="Normal 201 2 6 3" xfId="17154" xr:uid="{00000000-0005-0000-0000-000002430000}"/>
    <cellStyle name="Normal 201 2 7" xfId="17155" xr:uid="{00000000-0005-0000-0000-000003430000}"/>
    <cellStyle name="Normal 201 3" xfId="17156" xr:uid="{00000000-0005-0000-0000-000004430000}"/>
    <cellStyle name="Normal 201 3 2" xfId="17157" xr:uid="{00000000-0005-0000-0000-000005430000}"/>
    <cellStyle name="Normal 201 3 2 2" xfId="17158" xr:uid="{00000000-0005-0000-0000-000006430000}"/>
    <cellStyle name="Normal 201 3 3" xfId="17159" xr:uid="{00000000-0005-0000-0000-000007430000}"/>
    <cellStyle name="Normal 201 3 3 2" xfId="17160" xr:uid="{00000000-0005-0000-0000-000008430000}"/>
    <cellStyle name="Normal 201 3 3 2 2" xfId="17161" xr:uid="{00000000-0005-0000-0000-000009430000}"/>
    <cellStyle name="Normal 201 3 3 3" xfId="17162" xr:uid="{00000000-0005-0000-0000-00000A430000}"/>
    <cellStyle name="Normal 201 3 4" xfId="17163" xr:uid="{00000000-0005-0000-0000-00000B430000}"/>
    <cellStyle name="Normal 201 3 4 2" xfId="17164" xr:uid="{00000000-0005-0000-0000-00000C430000}"/>
    <cellStyle name="Normal 201 3 4 2 2" xfId="17165" xr:uid="{00000000-0005-0000-0000-00000D430000}"/>
    <cellStyle name="Normal 201 3 4 3" xfId="17166" xr:uid="{00000000-0005-0000-0000-00000E430000}"/>
    <cellStyle name="Normal 201 3 5" xfId="17167" xr:uid="{00000000-0005-0000-0000-00000F430000}"/>
    <cellStyle name="Normal 201 4" xfId="17168" xr:uid="{00000000-0005-0000-0000-000010430000}"/>
    <cellStyle name="Normal 201 4 2" xfId="17169" xr:uid="{00000000-0005-0000-0000-000011430000}"/>
    <cellStyle name="Normal 201 4 2 2" xfId="17170" xr:uid="{00000000-0005-0000-0000-000012430000}"/>
    <cellStyle name="Normal 201 4 2 2 2" xfId="17171" xr:uid="{00000000-0005-0000-0000-000013430000}"/>
    <cellStyle name="Normal 201 4 2 3" xfId="17172" xr:uid="{00000000-0005-0000-0000-000014430000}"/>
    <cellStyle name="Normal 201 4 2 3 2" xfId="17173" xr:uid="{00000000-0005-0000-0000-000015430000}"/>
    <cellStyle name="Normal 201 4 2 3 2 2" xfId="17174" xr:uid="{00000000-0005-0000-0000-000016430000}"/>
    <cellStyle name="Normal 201 4 2 3 3" xfId="17175" xr:uid="{00000000-0005-0000-0000-000017430000}"/>
    <cellStyle name="Normal 201 4 2 4" xfId="17176" xr:uid="{00000000-0005-0000-0000-000018430000}"/>
    <cellStyle name="Normal 201 4 3" xfId="17177" xr:uid="{00000000-0005-0000-0000-000019430000}"/>
    <cellStyle name="Normal 201 4 3 2" xfId="17178" xr:uid="{00000000-0005-0000-0000-00001A430000}"/>
    <cellStyle name="Normal 201 4 3 2 2" xfId="17179" xr:uid="{00000000-0005-0000-0000-00001B430000}"/>
    <cellStyle name="Normal 201 4 3 3" xfId="17180" xr:uid="{00000000-0005-0000-0000-00001C430000}"/>
    <cellStyle name="Normal 201 4 4" xfId="17181" xr:uid="{00000000-0005-0000-0000-00001D430000}"/>
    <cellStyle name="Normal 201 4 4 2" xfId="17182" xr:uid="{00000000-0005-0000-0000-00001E430000}"/>
    <cellStyle name="Normal 201 4 4 2 2" xfId="17183" xr:uid="{00000000-0005-0000-0000-00001F430000}"/>
    <cellStyle name="Normal 201 4 4 3" xfId="17184" xr:uid="{00000000-0005-0000-0000-000020430000}"/>
    <cellStyle name="Normal 201 4 5" xfId="17185" xr:uid="{00000000-0005-0000-0000-000021430000}"/>
    <cellStyle name="Normal 201 4 5 2" xfId="17186" xr:uid="{00000000-0005-0000-0000-000022430000}"/>
    <cellStyle name="Normal 201 4 5 2 2" xfId="17187" xr:uid="{00000000-0005-0000-0000-000023430000}"/>
    <cellStyle name="Normal 201 4 5 3" xfId="17188" xr:uid="{00000000-0005-0000-0000-000024430000}"/>
    <cellStyle name="Normal 201 4 6" xfId="17189" xr:uid="{00000000-0005-0000-0000-000025430000}"/>
    <cellStyle name="Normal 201 5" xfId="17190" xr:uid="{00000000-0005-0000-0000-000026430000}"/>
    <cellStyle name="Normal 201 5 2" xfId="17191" xr:uid="{00000000-0005-0000-0000-000027430000}"/>
    <cellStyle name="Normal 201 5 2 2" xfId="17192" xr:uid="{00000000-0005-0000-0000-000028430000}"/>
    <cellStyle name="Normal 201 5 3" xfId="17193" xr:uid="{00000000-0005-0000-0000-000029430000}"/>
    <cellStyle name="Normal 201 6" xfId="17194" xr:uid="{00000000-0005-0000-0000-00002A430000}"/>
    <cellStyle name="Normal 201 6 2" xfId="17195" xr:uid="{00000000-0005-0000-0000-00002B430000}"/>
    <cellStyle name="Normal 201 6 2 2" xfId="17196" xr:uid="{00000000-0005-0000-0000-00002C430000}"/>
    <cellStyle name="Normal 201 6 3" xfId="17197" xr:uid="{00000000-0005-0000-0000-00002D430000}"/>
    <cellStyle name="Normal 201 7" xfId="17198" xr:uid="{00000000-0005-0000-0000-00002E430000}"/>
    <cellStyle name="Normal 201 7 2" xfId="17199" xr:uid="{00000000-0005-0000-0000-00002F430000}"/>
    <cellStyle name="Normal 201 7 2 2" xfId="17200" xr:uid="{00000000-0005-0000-0000-000030430000}"/>
    <cellStyle name="Normal 201 7 3" xfId="17201" xr:uid="{00000000-0005-0000-0000-000031430000}"/>
    <cellStyle name="Normal 201 8" xfId="17202" xr:uid="{00000000-0005-0000-0000-000032430000}"/>
    <cellStyle name="Normal 202" xfId="17203" xr:uid="{00000000-0005-0000-0000-000033430000}"/>
    <cellStyle name="Normal 202 2" xfId="17204" xr:uid="{00000000-0005-0000-0000-000034430000}"/>
    <cellStyle name="Normal 202 2 2" xfId="17205" xr:uid="{00000000-0005-0000-0000-000035430000}"/>
    <cellStyle name="Normal 202 2 2 2" xfId="17206" xr:uid="{00000000-0005-0000-0000-000036430000}"/>
    <cellStyle name="Normal 202 2 2 2 2" xfId="17207" xr:uid="{00000000-0005-0000-0000-000037430000}"/>
    <cellStyle name="Normal 202 2 2 3" xfId="17208" xr:uid="{00000000-0005-0000-0000-000038430000}"/>
    <cellStyle name="Normal 202 2 2 3 2" xfId="17209" xr:uid="{00000000-0005-0000-0000-000039430000}"/>
    <cellStyle name="Normal 202 2 2 3 2 2" xfId="17210" xr:uid="{00000000-0005-0000-0000-00003A430000}"/>
    <cellStyle name="Normal 202 2 2 3 3" xfId="17211" xr:uid="{00000000-0005-0000-0000-00003B430000}"/>
    <cellStyle name="Normal 202 2 2 4" xfId="17212" xr:uid="{00000000-0005-0000-0000-00003C430000}"/>
    <cellStyle name="Normal 202 2 2 4 2" xfId="17213" xr:uid="{00000000-0005-0000-0000-00003D430000}"/>
    <cellStyle name="Normal 202 2 2 4 2 2" xfId="17214" xr:uid="{00000000-0005-0000-0000-00003E430000}"/>
    <cellStyle name="Normal 202 2 2 4 3" xfId="17215" xr:uid="{00000000-0005-0000-0000-00003F430000}"/>
    <cellStyle name="Normal 202 2 2 5" xfId="17216" xr:uid="{00000000-0005-0000-0000-000040430000}"/>
    <cellStyle name="Normal 202 2 3" xfId="17217" xr:uid="{00000000-0005-0000-0000-000041430000}"/>
    <cellStyle name="Normal 202 2 3 2" xfId="17218" xr:uid="{00000000-0005-0000-0000-000042430000}"/>
    <cellStyle name="Normal 202 2 3 2 2" xfId="17219" xr:uid="{00000000-0005-0000-0000-000043430000}"/>
    <cellStyle name="Normal 202 2 3 2 2 2" xfId="17220" xr:uid="{00000000-0005-0000-0000-000044430000}"/>
    <cellStyle name="Normal 202 2 3 2 3" xfId="17221" xr:uid="{00000000-0005-0000-0000-000045430000}"/>
    <cellStyle name="Normal 202 2 3 2 3 2" xfId="17222" xr:uid="{00000000-0005-0000-0000-000046430000}"/>
    <cellStyle name="Normal 202 2 3 2 3 2 2" xfId="17223" xr:uid="{00000000-0005-0000-0000-000047430000}"/>
    <cellStyle name="Normal 202 2 3 2 3 3" xfId="17224" xr:uid="{00000000-0005-0000-0000-000048430000}"/>
    <cellStyle name="Normal 202 2 3 2 4" xfId="17225" xr:uid="{00000000-0005-0000-0000-000049430000}"/>
    <cellStyle name="Normal 202 2 3 3" xfId="17226" xr:uid="{00000000-0005-0000-0000-00004A430000}"/>
    <cellStyle name="Normal 202 2 3 3 2" xfId="17227" xr:uid="{00000000-0005-0000-0000-00004B430000}"/>
    <cellStyle name="Normal 202 2 3 3 2 2" xfId="17228" xr:uid="{00000000-0005-0000-0000-00004C430000}"/>
    <cellStyle name="Normal 202 2 3 3 3" xfId="17229" xr:uid="{00000000-0005-0000-0000-00004D430000}"/>
    <cellStyle name="Normal 202 2 3 4" xfId="17230" xr:uid="{00000000-0005-0000-0000-00004E430000}"/>
    <cellStyle name="Normal 202 2 3 4 2" xfId="17231" xr:uid="{00000000-0005-0000-0000-00004F430000}"/>
    <cellStyle name="Normal 202 2 3 4 2 2" xfId="17232" xr:uid="{00000000-0005-0000-0000-000050430000}"/>
    <cellStyle name="Normal 202 2 3 4 3" xfId="17233" xr:uid="{00000000-0005-0000-0000-000051430000}"/>
    <cellStyle name="Normal 202 2 3 5" xfId="17234" xr:uid="{00000000-0005-0000-0000-000052430000}"/>
    <cellStyle name="Normal 202 2 3 5 2" xfId="17235" xr:uid="{00000000-0005-0000-0000-000053430000}"/>
    <cellStyle name="Normal 202 2 3 5 2 2" xfId="17236" xr:uid="{00000000-0005-0000-0000-000054430000}"/>
    <cellStyle name="Normal 202 2 3 5 3" xfId="17237" xr:uid="{00000000-0005-0000-0000-000055430000}"/>
    <cellStyle name="Normal 202 2 3 6" xfId="17238" xr:uid="{00000000-0005-0000-0000-000056430000}"/>
    <cellStyle name="Normal 202 2 4" xfId="17239" xr:uid="{00000000-0005-0000-0000-000057430000}"/>
    <cellStyle name="Normal 202 2 4 2" xfId="17240" xr:uid="{00000000-0005-0000-0000-000058430000}"/>
    <cellStyle name="Normal 202 2 4 2 2" xfId="17241" xr:uid="{00000000-0005-0000-0000-000059430000}"/>
    <cellStyle name="Normal 202 2 4 3" xfId="17242" xr:uid="{00000000-0005-0000-0000-00005A430000}"/>
    <cellStyle name="Normal 202 2 5" xfId="17243" xr:uid="{00000000-0005-0000-0000-00005B430000}"/>
    <cellStyle name="Normal 202 2 5 2" xfId="17244" xr:uid="{00000000-0005-0000-0000-00005C430000}"/>
    <cellStyle name="Normal 202 2 5 2 2" xfId="17245" xr:uid="{00000000-0005-0000-0000-00005D430000}"/>
    <cellStyle name="Normal 202 2 5 3" xfId="17246" xr:uid="{00000000-0005-0000-0000-00005E430000}"/>
    <cellStyle name="Normal 202 2 6" xfId="17247" xr:uid="{00000000-0005-0000-0000-00005F430000}"/>
    <cellStyle name="Normal 202 2 6 2" xfId="17248" xr:uid="{00000000-0005-0000-0000-000060430000}"/>
    <cellStyle name="Normal 202 2 6 2 2" xfId="17249" xr:uid="{00000000-0005-0000-0000-000061430000}"/>
    <cellStyle name="Normal 202 2 6 3" xfId="17250" xr:uid="{00000000-0005-0000-0000-000062430000}"/>
    <cellStyle name="Normal 202 2 7" xfId="17251" xr:uid="{00000000-0005-0000-0000-000063430000}"/>
    <cellStyle name="Normal 202 3" xfId="17252" xr:uid="{00000000-0005-0000-0000-000064430000}"/>
    <cellStyle name="Normal 202 3 2" xfId="17253" xr:uid="{00000000-0005-0000-0000-000065430000}"/>
    <cellStyle name="Normal 202 3 2 2" xfId="17254" xr:uid="{00000000-0005-0000-0000-000066430000}"/>
    <cellStyle name="Normal 202 3 3" xfId="17255" xr:uid="{00000000-0005-0000-0000-000067430000}"/>
    <cellStyle name="Normal 202 3 3 2" xfId="17256" xr:uid="{00000000-0005-0000-0000-000068430000}"/>
    <cellStyle name="Normal 202 3 3 2 2" xfId="17257" xr:uid="{00000000-0005-0000-0000-000069430000}"/>
    <cellStyle name="Normal 202 3 3 3" xfId="17258" xr:uid="{00000000-0005-0000-0000-00006A430000}"/>
    <cellStyle name="Normal 202 3 4" xfId="17259" xr:uid="{00000000-0005-0000-0000-00006B430000}"/>
    <cellStyle name="Normal 202 3 4 2" xfId="17260" xr:uid="{00000000-0005-0000-0000-00006C430000}"/>
    <cellStyle name="Normal 202 3 4 2 2" xfId="17261" xr:uid="{00000000-0005-0000-0000-00006D430000}"/>
    <cellStyle name="Normal 202 3 4 3" xfId="17262" xr:uid="{00000000-0005-0000-0000-00006E430000}"/>
    <cellStyle name="Normal 202 3 5" xfId="17263" xr:uid="{00000000-0005-0000-0000-00006F430000}"/>
    <cellStyle name="Normal 202 4" xfId="17264" xr:uid="{00000000-0005-0000-0000-000070430000}"/>
    <cellStyle name="Normal 202 4 2" xfId="17265" xr:uid="{00000000-0005-0000-0000-000071430000}"/>
    <cellStyle name="Normal 202 4 2 2" xfId="17266" xr:uid="{00000000-0005-0000-0000-000072430000}"/>
    <cellStyle name="Normal 202 4 2 2 2" xfId="17267" xr:uid="{00000000-0005-0000-0000-000073430000}"/>
    <cellStyle name="Normal 202 4 2 3" xfId="17268" xr:uid="{00000000-0005-0000-0000-000074430000}"/>
    <cellStyle name="Normal 202 4 2 3 2" xfId="17269" xr:uid="{00000000-0005-0000-0000-000075430000}"/>
    <cellStyle name="Normal 202 4 2 3 2 2" xfId="17270" xr:uid="{00000000-0005-0000-0000-000076430000}"/>
    <cellStyle name="Normal 202 4 2 3 3" xfId="17271" xr:uid="{00000000-0005-0000-0000-000077430000}"/>
    <cellStyle name="Normal 202 4 2 4" xfId="17272" xr:uid="{00000000-0005-0000-0000-000078430000}"/>
    <cellStyle name="Normal 202 4 3" xfId="17273" xr:uid="{00000000-0005-0000-0000-000079430000}"/>
    <cellStyle name="Normal 202 4 3 2" xfId="17274" xr:uid="{00000000-0005-0000-0000-00007A430000}"/>
    <cellStyle name="Normal 202 4 3 2 2" xfId="17275" xr:uid="{00000000-0005-0000-0000-00007B430000}"/>
    <cellStyle name="Normal 202 4 3 3" xfId="17276" xr:uid="{00000000-0005-0000-0000-00007C430000}"/>
    <cellStyle name="Normal 202 4 4" xfId="17277" xr:uid="{00000000-0005-0000-0000-00007D430000}"/>
    <cellStyle name="Normal 202 4 4 2" xfId="17278" xr:uid="{00000000-0005-0000-0000-00007E430000}"/>
    <cellStyle name="Normal 202 4 4 2 2" xfId="17279" xr:uid="{00000000-0005-0000-0000-00007F430000}"/>
    <cellStyle name="Normal 202 4 4 3" xfId="17280" xr:uid="{00000000-0005-0000-0000-000080430000}"/>
    <cellStyle name="Normal 202 4 5" xfId="17281" xr:uid="{00000000-0005-0000-0000-000081430000}"/>
    <cellStyle name="Normal 202 4 5 2" xfId="17282" xr:uid="{00000000-0005-0000-0000-000082430000}"/>
    <cellStyle name="Normal 202 4 5 2 2" xfId="17283" xr:uid="{00000000-0005-0000-0000-000083430000}"/>
    <cellStyle name="Normal 202 4 5 3" xfId="17284" xr:uid="{00000000-0005-0000-0000-000084430000}"/>
    <cellStyle name="Normal 202 4 6" xfId="17285" xr:uid="{00000000-0005-0000-0000-000085430000}"/>
    <cellStyle name="Normal 202 5" xfId="17286" xr:uid="{00000000-0005-0000-0000-000086430000}"/>
    <cellStyle name="Normal 202 5 2" xfId="17287" xr:uid="{00000000-0005-0000-0000-000087430000}"/>
    <cellStyle name="Normal 202 5 2 2" xfId="17288" xr:uid="{00000000-0005-0000-0000-000088430000}"/>
    <cellStyle name="Normal 202 5 3" xfId="17289" xr:uid="{00000000-0005-0000-0000-000089430000}"/>
    <cellStyle name="Normal 202 6" xfId="17290" xr:uid="{00000000-0005-0000-0000-00008A430000}"/>
    <cellStyle name="Normal 202 6 2" xfId="17291" xr:uid="{00000000-0005-0000-0000-00008B430000}"/>
    <cellStyle name="Normal 202 6 2 2" xfId="17292" xr:uid="{00000000-0005-0000-0000-00008C430000}"/>
    <cellStyle name="Normal 202 6 3" xfId="17293" xr:uid="{00000000-0005-0000-0000-00008D430000}"/>
    <cellStyle name="Normal 202 7" xfId="17294" xr:uid="{00000000-0005-0000-0000-00008E430000}"/>
    <cellStyle name="Normal 202 7 2" xfId="17295" xr:uid="{00000000-0005-0000-0000-00008F430000}"/>
    <cellStyle name="Normal 202 7 2 2" xfId="17296" xr:uid="{00000000-0005-0000-0000-000090430000}"/>
    <cellStyle name="Normal 202 7 3" xfId="17297" xr:uid="{00000000-0005-0000-0000-000091430000}"/>
    <cellStyle name="Normal 202 8" xfId="17298" xr:uid="{00000000-0005-0000-0000-000092430000}"/>
    <cellStyle name="Normal 203" xfId="17299" xr:uid="{00000000-0005-0000-0000-000093430000}"/>
    <cellStyle name="Normal 203 2" xfId="17300" xr:uid="{00000000-0005-0000-0000-000094430000}"/>
    <cellStyle name="Normal 203 2 2" xfId="17301" xr:uid="{00000000-0005-0000-0000-000095430000}"/>
    <cellStyle name="Normal 203 2 2 2" xfId="17302" xr:uid="{00000000-0005-0000-0000-000096430000}"/>
    <cellStyle name="Normal 203 2 2 2 2" xfId="17303" xr:uid="{00000000-0005-0000-0000-000097430000}"/>
    <cellStyle name="Normal 203 2 2 3" xfId="17304" xr:uid="{00000000-0005-0000-0000-000098430000}"/>
    <cellStyle name="Normal 203 2 2 3 2" xfId="17305" xr:uid="{00000000-0005-0000-0000-000099430000}"/>
    <cellStyle name="Normal 203 2 2 3 2 2" xfId="17306" xr:uid="{00000000-0005-0000-0000-00009A430000}"/>
    <cellStyle name="Normal 203 2 2 3 3" xfId="17307" xr:uid="{00000000-0005-0000-0000-00009B430000}"/>
    <cellStyle name="Normal 203 2 2 4" xfId="17308" xr:uid="{00000000-0005-0000-0000-00009C430000}"/>
    <cellStyle name="Normal 203 2 2 4 2" xfId="17309" xr:uid="{00000000-0005-0000-0000-00009D430000}"/>
    <cellStyle name="Normal 203 2 2 4 2 2" xfId="17310" xr:uid="{00000000-0005-0000-0000-00009E430000}"/>
    <cellStyle name="Normal 203 2 2 4 3" xfId="17311" xr:uid="{00000000-0005-0000-0000-00009F430000}"/>
    <cellStyle name="Normal 203 2 2 5" xfId="17312" xr:uid="{00000000-0005-0000-0000-0000A0430000}"/>
    <cellStyle name="Normal 203 2 3" xfId="17313" xr:uid="{00000000-0005-0000-0000-0000A1430000}"/>
    <cellStyle name="Normal 203 2 3 2" xfId="17314" xr:uid="{00000000-0005-0000-0000-0000A2430000}"/>
    <cellStyle name="Normal 203 2 3 2 2" xfId="17315" xr:uid="{00000000-0005-0000-0000-0000A3430000}"/>
    <cellStyle name="Normal 203 2 3 2 2 2" xfId="17316" xr:uid="{00000000-0005-0000-0000-0000A4430000}"/>
    <cellStyle name="Normal 203 2 3 2 3" xfId="17317" xr:uid="{00000000-0005-0000-0000-0000A5430000}"/>
    <cellStyle name="Normal 203 2 3 2 3 2" xfId="17318" xr:uid="{00000000-0005-0000-0000-0000A6430000}"/>
    <cellStyle name="Normal 203 2 3 2 3 2 2" xfId="17319" xr:uid="{00000000-0005-0000-0000-0000A7430000}"/>
    <cellStyle name="Normal 203 2 3 2 3 3" xfId="17320" xr:uid="{00000000-0005-0000-0000-0000A8430000}"/>
    <cellStyle name="Normal 203 2 3 2 4" xfId="17321" xr:uid="{00000000-0005-0000-0000-0000A9430000}"/>
    <cellStyle name="Normal 203 2 3 3" xfId="17322" xr:uid="{00000000-0005-0000-0000-0000AA430000}"/>
    <cellStyle name="Normal 203 2 3 3 2" xfId="17323" xr:uid="{00000000-0005-0000-0000-0000AB430000}"/>
    <cellStyle name="Normal 203 2 3 3 2 2" xfId="17324" xr:uid="{00000000-0005-0000-0000-0000AC430000}"/>
    <cellStyle name="Normal 203 2 3 3 3" xfId="17325" xr:uid="{00000000-0005-0000-0000-0000AD430000}"/>
    <cellStyle name="Normal 203 2 3 4" xfId="17326" xr:uid="{00000000-0005-0000-0000-0000AE430000}"/>
    <cellStyle name="Normal 203 2 3 4 2" xfId="17327" xr:uid="{00000000-0005-0000-0000-0000AF430000}"/>
    <cellStyle name="Normal 203 2 3 4 2 2" xfId="17328" xr:uid="{00000000-0005-0000-0000-0000B0430000}"/>
    <cellStyle name="Normal 203 2 3 4 3" xfId="17329" xr:uid="{00000000-0005-0000-0000-0000B1430000}"/>
    <cellStyle name="Normal 203 2 3 5" xfId="17330" xr:uid="{00000000-0005-0000-0000-0000B2430000}"/>
    <cellStyle name="Normal 203 2 3 5 2" xfId="17331" xr:uid="{00000000-0005-0000-0000-0000B3430000}"/>
    <cellStyle name="Normal 203 2 3 5 2 2" xfId="17332" xr:uid="{00000000-0005-0000-0000-0000B4430000}"/>
    <cellStyle name="Normal 203 2 3 5 3" xfId="17333" xr:uid="{00000000-0005-0000-0000-0000B5430000}"/>
    <cellStyle name="Normal 203 2 3 6" xfId="17334" xr:uid="{00000000-0005-0000-0000-0000B6430000}"/>
    <cellStyle name="Normal 203 2 4" xfId="17335" xr:uid="{00000000-0005-0000-0000-0000B7430000}"/>
    <cellStyle name="Normal 203 2 4 2" xfId="17336" xr:uid="{00000000-0005-0000-0000-0000B8430000}"/>
    <cellStyle name="Normal 203 2 4 2 2" xfId="17337" xr:uid="{00000000-0005-0000-0000-0000B9430000}"/>
    <cellStyle name="Normal 203 2 4 3" xfId="17338" xr:uid="{00000000-0005-0000-0000-0000BA430000}"/>
    <cellStyle name="Normal 203 2 5" xfId="17339" xr:uid="{00000000-0005-0000-0000-0000BB430000}"/>
    <cellStyle name="Normal 203 2 5 2" xfId="17340" xr:uid="{00000000-0005-0000-0000-0000BC430000}"/>
    <cellStyle name="Normal 203 2 5 2 2" xfId="17341" xr:uid="{00000000-0005-0000-0000-0000BD430000}"/>
    <cellStyle name="Normal 203 2 5 3" xfId="17342" xr:uid="{00000000-0005-0000-0000-0000BE430000}"/>
    <cellStyle name="Normal 203 2 6" xfId="17343" xr:uid="{00000000-0005-0000-0000-0000BF430000}"/>
    <cellStyle name="Normal 203 2 6 2" xfId="17344" xr:uid="{00000000-0005-0000-0000-0000C0430000}"/>
    <cellStyle name="Normal 203 2 6 2 2" xfId="17345" xr:uid="{00000000-0005-0000-0000-0000C1430000}"/>
    <cellStyle name="Normal 203 2 6 3" xfId="17346" xr:uid="{00000000-0005-0000-0000-0000C2430000}"/>
    <cellStyle name="Normal 203 2 7" xfId="17347" xr:uid="{00000000-0005-0000-0000-0000C3430000}"/>
    <cellStyle name="Normal 203 3" xfId="17348" xr:uid="{00000000-0005-0000-0000-0000C4430000}"/>
    <cellStyle name="Normal 203 3 2" xfId="17349" xr:uid="{00000000-0005-0000-0000-0000C5430000}"/>
    <cellStyle name="Normal 203 3 2 2" xfId="17350" xr:uid="{00000000-0005-0000-0000-0000C6430000}"/>
    <cellStyle name="Normal 203 3 3" xfId="17351" xr:uid="{00000000-0005-0000-0000-0000C7430000}"/>
    <cellStyle name="Normal 203 3 3 2" xfId="17352" xr:uid="{00000000-0005-0000-0000-0000C8430000}"/>
    <cellStyle name="Normal 203 3 3 2 2" xfId="17353" xr:uid="{00000000-0005-0000-0000-0000C9430000}"/>
    <cellStyle name="Normal 203 3 3 3" xfId="17354" xr:uid="{00000000-0005-0000-0000-0000CA430000}"/>
    <cellStyle name="Normal 203 3 4" xfId="17355" xr:uid="{00000000-0005-0000-0000-0000CB430000}"/>
    <cellStyle name="Normal 203 3 4 2" xfId="17356" xr:uid="{00000000-0005-0000-0000-0000CC430000}"/>
    <cellStyle name="Normal 203 3 4 2 2" xfId="17357" xr:uid="{00000000-0005-0000-0000-0000CD430000}"/>
    <cellStyle name="Normal 203 3 4 3" xfId="17358" xr:uid="{00000000-0005-0000-0000-0000CE430000}"/>
    <cellStyle name="Normal 203 3 5" xfId="17359" xr:uid="{00000000-0005-0000-0000-0000CF430000}"/>
    <cellStyle name="Normal 203 4" xfId="17360" xr:uid="{00000000-0005-0000-0000-0000D0430000}"/>
    <cellStyle name="Normal 203 4 2" xfId="17361" xr:uid="{00000000-0005-0000-0000-0000D1430000}"/>
    <cellStyle name="Normal 203 4 2 2" xfId="17362" xr:uid="{00000000-0005-0000-0000-0000D2430000}"/>
    <cellStyle name="Normal 203 4 2 2 2" xfId="17363" xr:uid="{00000000-0005-0000-0000-0000D3430000}"/>
    <cellStyle name="Normal 203 4 2 3" xfId="17364" xr:uid="{00000000-0005-0000-0000-0000D4430000}"/>
    <cellStyle name="Normal 203 4 2 3 2" xfId="17365" xr:uid="{00000000-0005-0000-0000-0000D5430000}"/>
    <cellStyle name="Normal 203 4 2 3 2 2" xfId="17366" xr:uid="{00000000-0005-0000-0000-0000D6430000}"/>
    <cellStyle name="Normal 203 4 2 3 3" xfId="17367" xr:uid="{00000000-0005-0000-0000-0000D7430000}"/>
    <cellStyle name="Normal 203 4 2 4" xfId="17368" xr:uid="{00000000-0005-0000-0000-0000D8430000}"/>
    <cellStyle name="Normal 203 4 3" xfId="17369" xr:uid="{00000000-0005-0000-0000-0000D9430000}"/>
    <cellStyle name="Normal 203 4 3 2" xfId="17370" xr:uid="{00000000-0005-0000-0000-0000DA430000}"/>
    <cellStyle name="Normal 203 4 3 2 2" xfId="17371" xr:uid="{00000000-0005-0000-0000-0000DB430000}"/>
    <cellStyle name="Normal 203 4 3 3" xfId="17372" xr:uid="{00000000-0005-0000-0000-0000DC430000}"/>
    <cellStyle name="Normal 203 4 4" xfId="17373" xr:uid="{00000000-0005-0000-0000-0000DD430000}"/>
    <cellStyle name="Normal 203 4 4 2" xfId="17374" xr:uid="{00000000-0005-0000-0000-0000DE430000}"/>
    <cellStyle name="Normal 203 4 4 2 2" xfId="17375" xr:uid="{00000000-0005-0000-0000-0000DF430000}"/>
    <cellStyle name="Normal 203 4 4 3" xfId="17376" xr:uid="{00000000-0005-0000-0000-0000E0430000}"/>
    <cellStyle name="Normal 203 4 5" xfId="17377" xr:uid="{00000000-0005-0000-0000-0000E1430000}"/>
    <cellStyle name="Normal 203 4 5 2" xfId="17378" xr:uid="{00000000-0005-0000-0000-0000E2430000}"/>
    <cellStyle name="Normal 203 4 5 2 2" xfId="17379" xr:uid="{00000000-0005-0000-0000-0000E3430000}"/>
    <cellStyle name="Normal 203 4 5 3" xfId="17380" xr:uid="{00000000-0005-0000-0000-0000E4430000}"/>
    <cellStyle name="Normal 203 4 6" xfId="17381" xr:uid="{00000000-0005-0000-0000-0000E5430000}"/>
    <cellStyle name="Normal 203 5" xfId="17382" xr:uid="{00000000-0005-0000-0000-0000E6430000}"/>
    <cellStyle name="Normal 203 5 2" xfId="17383" xr:uid="{00000000-0005-0000-0000-0000E7430000}"/>
    <cellStyle name="Normal 203 5 2 2" xfId="17384" xr:uid="{00000000-0005-0000-0000-0000E8430000}"/>
    <cellStyle name="Normal 203 5 3" xfId="17385" xr:uid="{00000000-0005-0000-0000-0000E9430000}"/>
    <cellStyle name="Normal 203 6" xfId="17386" xr:uid="{00000000-0005-0000-0000-0000EA430000}"/>
    <cellStyle name="Normal 203 6 2" xfId="17387" xr:uid="{00000000-0005-0000-0000-0000EB430000}"/>
    <cellStyle name="Normal 203 6 2 2" xfId="17388" xr:uid="{00000000-0005-0000-0000-0000EC430000}"/>
    <cellStyle name="Normal 203 6 3" xfId="17389" xr:uid="{00000000-0005-0000-0000-0000ED430000}"/>
    <cellStyle name="Normal 203 7" xfId="17390" xr:uid="{00000000-0005-0000-0000-0000EE430000}"/>
    <cellStyle name="Normal 203 7 2" xfId="17391" xr:uid="{00000000-0005-0000-0000-0000EF430000}"/>
    <cellStyle name="Normal 203 7 2 2" xfId="17392" xr:uid="{00000000-0005-0000-0000-0000F0430000}"/>
    <cellStyle name="Normal 203 7 3" xfId="17393" xr:uid="{00000000-0005-0000-0000-0000F1430000}"/>
    <cellStyle name="Normal 203 8" xfId="17394" xr:uid="{00000000-0005-0000-0000-0000F2430000}"/>
    <cellStyle name="Normal 204" xfId="17395" xr:uid="{00000000-0005-0000-0000-0000F3430000}"/>
    <cellStyle name="Normal 204 2" xfId="17396" xr:uid="{00000000-0005-0000-0000-0000F4430000}"/>
    <cellStyle name="Normal 204 2 2" xfId="17397" xr:uid="{00000000-0005-0000-0000-0000F5430000}"/>
    <cellStyle name="Normal 204 2 2 2" xfId="17398" xr:uid="{00000000-0005-0000-0000-0000F6430000}"/>
    <cellStyle name="Normal 204 2 3" xfId="17399" xr:uid="{00000000-0005-0000-0000-0000F7430000}"/>
    <cellStyle name="Normal 204 2 3 2" xfId="17400" xr:uid="{00000000-0005-0000-0000-0000F8430000}"/>
    <cellStyle name="Normal 204 2 3 2 2" xfId="17401" xr:uid="{00000000-0005-0000-0000-0000F9430000}"/>
    <cellStyle name="Normal 204 2 3 3" xfId="17402" xr:uid="{00000000-0005-0000-0000-0000FA430000}"/>
    <cellStyle name="Normal 204 2 4" xfId="17403" xr:uid="{00000000-0005-0000-0000-0000FB430000}"/>
    <cellStyle name="Normal 204 2 4 2" xfId="17404" xr:uid="{00000000-0005-0000-0000-0000FC430000}"/>
    <cellStyle name="Normal 204 2 4 2 2" xfId="17405" xr:uid="{00000000-0005-0000-0000-0000FD430000}"/>
    <cellStyle name="Normal 204 2 4 3" xfId="17406" xr:uid="{00000000-0005-0000-0000-0000FE430000}"/>
    <cellStyle name="Normal 204 2 5" xfId="17407" xr:uid="{00000000-0005-0000-0000-0000FF430000}"/>
    <cellStyle name="Normal 204 3" xfId="17408" xr:uid="{00000000-0005-0000-0000-000000440000}"/>
    <cellStyle name="Normal 204 3 2" xfId="17409" xr:uid="{00000000-0005-0000-0000-000001440000}"/>
    <cellStyle name="Normal 204 3 2 2" xfId="17410" xr:uid="{00000000-0005-0000-0000-000002440000}"/>
    <cellStyle name="Normal 204 3 2 2 2" xfId="17411" xr:uid="{00000000-0005-0000-0000-000003440000}"/>
    <cellStyle name="Normal 204 3 2 3" xfId="17412" xr:uid="{00000000-0005-0000-0000-000004440000}"/>
    <cellStyle name="Normal 204 3 2 3 2" xfId="17413" xr:uid="{00000000-0005-0000-0000-000005440000}"/>
    <cellStyle name="Normal 204 3 2 3 2 2" xfId="17414" xr:uid="{00000000-0005-0000-0000-000006440000}"/>
    <cellStyle name="Normal 204 3 2 3 3" xfId="17415" xr:uid="{00000000-0005-0000-0000-000007440000}"/>
    <cellStyle name="Normal 204 3 2 4" xfId="17416" xr:uid="{00000000-0005-0000-0000-000008440000}"/>
    <cellStyle name="Normal 204 3 3" xfId="17417" xr:uid="{00000000-0005-0000-0000-000009440000}"/>
    <cellStyle name="Normal 204 3 3 2" xfId="17418" xr:uid="{00000000-0005-0000-0000-00000A440000}"/>
    <cellStyle name="Normal 204 3 3 2 2" xfId="17419" xr:uid="{00000000-0005-0000-0000-00000B440000}"/>
    <cellStyle name="Normal 204 3 3 3" xfId="17420" xr:uid="{00000000-0005-0000-0000-00000C440000}"/>
    <cellStyle name="Normal 204 3 4" xfId="17421" xr:uid="{00000000-0005-0000-0000-00000D440000}"/>
    <cellStyle name="Normal 204 3 4 2" xfId="17422" xr:uid="{00000000-0005-0000-0000-00000E440000}"/>
    <cellStyle name="Normal 204 3 4 2 2" xfId="17423" xr:uid="{00000000-0005-0000-0000-00000F440000}"/>
    <cellStyle name="Normal 204 3 4 3" xfId="17424" xr:uid="{00000000-0005-0000-0000-000010440000}"/>
    <cellStyle name="Normal 204 3 5" xfId="17425" xr:uid="{00000000-0005-0000-0000-000011440000}"/>
    <cellStyle name="Normal 204 3 5 2" xfId="17426" xr:uid="{00000000-0005-0000-0000-000012440000}"/>
    <cellStyle name="Normal 204 3 5 2 2" xfId="17427" xr:uid="{00000000-0005-0000-0000-000013440000}"/>
    <cellStyle name="Normal 204 3 5 3" xfId="17428" xr:uid="{00000000-0005-0000-0000-000014440000}"/>
    <cellStyle name="Normal 204 3 6" xfId="17429" xr:uid="{00000000-0005-0000-0000-000015440000}"/>
    <cellStyle name="Normal 204 4" xfId="17430" xr:uid="{00000000-0005-0000-0000-000016440000}"/>
    <cellStyle name="Normal 204 4 2" xfId="17431" xr:uid="{00000000-0005-0000-0000-000017440000}"/>
    <cellStyle name="Normal 204 4 2 2" xfId="17432" xr:uid="{00000000-0005-0000-0000-000018440000}"/>
    <cellStyle name="Normal 204 4 3" xfId="17433" xr:uid="{00000000-0005-0000-0000-000019440000}"/>
    <cellStyle name="Normal 204 5" xfId="17434" xr:uid="{00000000-0005-0000-0000-00001A440000}"/>
    <cellStyle name="Normal 204 5 2" xfId="17435" xr:uid="{00000000-0005-0000-0000-00001B440000}"/>
    <cellStyle name="Normal 204 5 2 2" xfId="17436" xr:uid="{00000000-0005-0000-0000-00001C440000}"/>
    <cellStyle name="Normal 204 5 3" xfId="17437" xr:uid="{00000000-0005-0000-0000-00001D440000}"/>
    <cellStyle name="Normal 204 6" xfId="17438" xr:uid="{00000000-0005-0000-0000-00001E440000}"/>
    <cellStyle name="Normal 204 6 2" xfId="17439" xr:uid="{00000000-0005-0000-0000-00001F440000}"/>
    <cellStyle name="Normal 204 6 2 2" xfId="17440" xr:uid="{00000000-0005-0000-0000-000020440000}"/>
    <cellStyle name="Normal 204 6 3" xfId="17441" xr:uid="{00000000-0005-0000-0000-000021440000}"/>
    <cellStyle name="Normal 204 7" xfId="17442" xr:uid="{00000000-0005-0000-0000-000022440000}"/>
    <cellStyle name="Normal 205" xfId="17443" xr:uid="{00000000-0005-0000-0000-000023440000}"/>
    <cellStyle name="Normal 205 2" xfId="17444" xr:uid="{00000000-0005-0000-0000-000024440000}"/>
    <cellStyle name="Normal 205 2 2" xfId="17445" xr:uid="{00000000-0005-0000-0000-000025440000}"/>
    <cellStyle name="Normal 205 2 2 2" xfId="17446" xr:uid="{00000000-0005-0000-0000-000026440000}"/>
    <cellStyle name="Normal 205 2 3" xfId="17447" xr:uid="{00000000-0005-0000-0000-000027440000}"/>
    <cellStyle name="Normal 205 2 3 2" xfId="17448" xr:uid="{00000000-0005-0000-0000-000028440000}"/>
    <cellStyle name="Normal 205 2 3 2 2" xfId="17449" xr:uid="{00000000-0005-0000-0000-000029440000}"/>
    <cellStyle name="Normal 205 2 3 3" xfId="17450" xr:uid="{00000000-0005-0000-0000-00002A440000}"/>
    <cellStyle name="Normal 205 2 4" xfId="17451" xr:uid="{00000000-0005-0000-0000-00002B440000}"/>
    <cellStyle name="Normal 205 2 4 2" xfId="17452" xr:uid="{00000000-0005-0000-0000-00002C440000}"/>
    <cellStyle name="Normal 205 2 4 2 2" xfId="17453" xr:uid="{00000000-0005-0000-0000-00002D440000}"/>
    <cellStyle name="Normal 205 2 4 3" xfId="17454" xr:uid="{00000000-0005-0000-0000-00002E440000}"/>
    <cellStyle name="Normal 205 2 5" xfId="17455" xr:uid="{00000000-0005-0000-0000-00002F440000}"/>
    <cellStyle name="Normal 205 3" xfId="17456" xr:uid="{00000000-0005-0000-0000-000030440000}"/>
    <cellStyle name="Normal 205 3 2" xfId="17457" xr:uid="{00000000-0005-0000-0000-000031440000}"/>
    <cellStyle name="Normal 205 3 2 2" xfId="17458" xr:uid="{00000000-0005-0000-0000-000032440000}"/>
    <cellStyle name="Normal 205 3 2 2 2" xfId="17459" xr:uid="{00000000-0005-0000-0000-000033440000}"/>
    <cellStyle name="Normal 205 3 2 3" xfId="17460" xr:uid="{00000000-0005-0000-0000-000034440000}"/>
    <cellStyle name="Normal 205 3 2 3 2" xfId="17461" xr:uid="{00000000-0005-0000-0000-000035440000}"/>
    <cellStyle name="Normal 205 3 2 3 2 2" xfId="17462" xr:uid="{00000000-0005-0000-0000-000036440000}"/>
    <cellStyle name="Normal 205 3 2 3 3" xfId="17463" xr:uid="{00000000-0005-0000-0000-000037440000}"/>
    <cellStyle name="Normal 205 3 2 4" xfId="17464" xr:uid="{00000000-0005-0000-0000-000038440000}"/>
    <cellStyle name="Normal 205 3 3" xfId="17465" xr:uid="{00000000-0005-0000-0000-000039440000}"/>
    <cellStyle name="Normal 205 3 3 2" xfId="17466" xr:uid="{00000000-0005-0000-0000-00003A440000}"/>
    <cellStyle name="Normal 205 3 3 2 2" xfId="17467" xr:uid="{00000000-0005-0000-0000-00003B440000}"/>
    <cellStyle name="Normal 205 3 3 3" xfId="17468" xr:uid="{00000000-0005-0000-0000-00003C440000}"/>
    <cellStyle name="Normal 205 3 4" xfId="17469" xr:uid="{00000000-0005-0000-0000-00003D440000}"/>
    <cellStyle name="Normal 205 3 4 2" xfId="17470" xr:uid="{00000000-0005-0000-0000-00003E440000}"/>
    <cellStyle name="Normal 205 3 4 2 2" xfId="17471" xr:uid="{00000000-0005-0000-0000-00003F440000}"/>
    <cellStyle name="Normal 205 3 4 3" xfId="17472" xr:uid="{00000000-0005-0000-0000-000040440000}"/>
    <cellStyle name="Normal 205 3 5" xfId="17473" xr:uid="{00000000-0005-0000-0000-000041440000}"/>
    <cellStyle name="Normal 205 3 5 2" xfId="17474" xr:uid="{00000000-0005-0000-0000-000042440000}"/>
    <cellStyle name="Normal 205 3 5 2 2" xfId="17475" xr:uid="{00000000-0005-0000-0000-000043440000}"/>
    <cellStyle name="Normal 205 3 5 3" xfId="17476" xr:uid="{00000000-0005-0000-0000-000044440000}"/>
    <cellStyle name="Normal 205 3 6" xfId="17477" xr:uid="{00000000-0005-0000-0000-000045440000}"/>
    <cellStyle name="Normal 205 4" xfId="17478" xr:uid="{00000000-0005-0000-0000-000046440000}"/>
    <cellStyle name="Normal 205 4 2" xfId="17479" xr:uid="{00000000-0005-0000-0000-000047440000}"/>
    <cellStyle name="Normal 205 4 2 2" xfId="17480" xr:uid="{00000000-0005-0000-0000-000048440000}"/>
    <cellStyle name="Normal 205 4 3" xfId="17481" xr:uid="{00000000-0005-0000-0000-000049440000}"/>
    <cellStyle name="Normal 205 5" xfId="17482" xr:uid="{00000000-0005-0000-0000-00004A440000}"/>
    <cellStyle name="Normal 205 5 2" xfId="17483" xr:uid="{00000000-0005-0000-0000-00004B440000}"/>
    <cellStyle name="Normal 205 5 2 2" xfId="17484" xr:uid="{00000000-0005-0000-0000-00004C440000}"/>
    <cellStyle name="Normal 205 5 3" xfId="17485" xr:uid="{00000000-0005-0000-0000-00004D440000}"/>
    <cellStyle name="Normal 205 6" xfId="17486" xr:uid="{00000000-0005-0000-0000-00004E440000}"/>
    <cellStyle name="Normal 205 6 2" xfId="17487" xr:uid="{00000000-0005-0000-0000-00004F440000}"/>
    <cellStyle name="Normal 205 6 2 2" xfId="17488" xr:uid="{00000000-0005-0000-0000-000050440000}"/>
    <cellStyle name="Normal 205 6 3" xfId="17489" xr:uid="{00000000-0005-0000-0000-000051440000}"/>
    <cellStyle name="Normal 205 7" xfId="17490" xr:uid="{00000000-0005-0000-0000-000052440000}"/>
    <cellStyle name="Normal 206" xfId="17491" xr:uid="{00000000-0005-0000-0000-000053440000}"/>
    <cellStyle name="Normal 206 2" xfId="17492" xr:uid="{00000000-0005-0000-0000-000054440000}"/>
    <cellStyle name="Normal 206 2 2" xfId="17493" xr:uid="{00000000-0005-0000-0000-000055440000}"/>
    <cellStyle name="Normal 206 2 2 2" xfId="17494" xr:uid="{00000000-0005-0000-0000-000056440000}"/>
    <cellStyle name="Normal 206 2 3" xfId="17495" xr:uid="{00000000-0005-0000-0000-000057440000}"/>
    <cellStyle name="Normal 206 2 3 2" xfId="17496" xr:uid="{00000000-0005-0000-0000-000058440000}"/>
    <cellStyle name="Normal 206 2 3 2 2" xfId="17497" xr:uid="{00000000-0005-0000-0000-000059440000}"/>
    <cellStyle name="Normal 206 2 3 3" xfId="17498" xr:uid="{00000000-0005-0000-0000-00005A440000}"/>
    <cellStyle name="Normal 206 2 4" xfId="17499" xr:uid="{00000000-0005-0000-0000-00005B440000}"/>
    <cellStyle name="Normal 206 2 4 2" xfId="17500" xr:uid="{00000000-0005-0000-0000-00005C440000}"/>
    <cellStyle name="Normal 206 2 4 2 2" xfId="17501" xr:uid="{00000000-0005-0000-0000-00005D440000}"/>
    <cellStyle name="Normal 206 2 4 3" xfId="17502" xr:uid="{00000000-0005-0000-0000-00005E440000}"/>
    <cellStyle name="Normal 206 2 5" xfId="17503" xr:uid="{00000000-0005-0000-0000-00005F440000}"/>
    <cellStyle name="Normal 206 3" xfId="17504" xr:uid="{00000000-0005-0000-0000-000060440000}"/>
    <cellStyle name="Normal 206 3 2" xfId="17505" xr:uid="{00000000-0005-0000-0000-000061440000}"/>
    <cellStyle name="Normal 206 3 2 2" xfId="17506" xr:uid="{00000000-0005-0000-0000-000062440000}"/>
    <cellStyle name="Normal 206 3 2 2 2" xfId="17507" xr:uid="{00000000-0005-0000-0000-000063440000}"/>
    <cellStyle name="Normal 206 3 2 3" xfId="17508" xr:uid="{00000000-0005-0000-0000-000064440000}"/>
    <cellStyle name="Normal 206 3 2 3 2" xfId="17509" xr:uid="{00000000-0005-0000-0000-000065440000}"/>
    <cellStyle name="Normal 206 3 2 3 2 2" xfId="17510" xr:uid="{00000000-0005-0000-0000-000066440000}"/>
    <cellStyle name="Normal 206 3 2 3 3" xfId="17511" xr:uid="{00000000-0005-0000-0000-000067440000}"/>
    <cellStyle name="Normal 206 3 2 4" xfId="17512" xr:uid="{00000000-0005-0000-0000-000068440000}"/>
    <cellStyle name="Normal 206 3 3" xfId="17513" xr:uid="{00000000-0005-0000-0000-000069440000}"/>
    <cellStyle name="Normal 206 3 3 2" xfId="17514" xr:uid="{00000000-0005-0000-0000-00006A440000}"/>
    <cellStyle name="Normal 206 3 3 2 2" xfId="17515" xr:uid="{00000000-0005-0000-0000-00006B440000}"/>
    <cellStyle name="Normal 206 3 3 3" xfId="17516" xr:uid="{00000000-0005-0000-0000-00006C440000}"/>
    <cellStyle name="Normal 206 3 4" xfId="17517" xr:uid="{00000000-0005-0000-0000-00006D440000}"/>
    <cellStyle name="Normal 206 3 4 2" xfId="17518" xr:uid="{00000000-0005-0000-0000-00006E440000}"/>
    <cellStyle name="Normal 206 3 4 2 2" xfId="17519" xr:uid="{00000000-0005-0000-0000-00006F440000}"/>
    <cellStyle name="Normal 206 3 4 3" xfId="17520" xr:uid="{00000000-0005-0000-0000-000070440000}"/>
    <cellStyle name="Normal 206 3 5" xfId="17521" xr:uid="{00000000-0005-0000-0000-000071440000}"/>
    <cellStyle name="Normal 206 3 5 2" xfId="17522" xr:uid="{00000000-0005-0000-0000-000072440000}"/>
    <cellStyle name="Normal 206 3 5 2 2" xfId="17523" xr:uid="{00000000-0005-0000-0000-000073440000}"/>
    <cellStyle name="Normal 206 3 5 3" xfId="17524" xr:uid="{00000000-0005-0000-0000-000074440000}"/>
    <cellStyle name="Normal 206 3 6" xfId="17525" xr:uid="{00000000-0005-0000-0000-000075440000}"/>
    <cellStyle name="Normal 206 4" xfId="17526" xr:uid="{00000000-0005-0000-0000-000076440000}"/>
    <cellStyle name="Normal 206 4 2" xfId="17527" xr:uid="{00000000-0005-0000-0000-000077440000}"/>
    <cellStyle name="Normal 206 4 2 2" xfId="17528" xr:uid="{00000000-0005-0000-0000-000078440000}"/>
    <cellStyle name="Normal 206 4 3" xfId="17529" xr:uid="{00000000-0005-0000-0000-000079440000}"/>
    <cellStyle name="Normal 206 5" xfId="17530" xr:uid="{00000000-0005-0000-0000-00007A440000}"/>
    <cellStyle name="Normal 206 5 2" xfId="17531" xr:uid="{00000000-0005-0000-0000-00007B440000}"/>
    <cellStyle name="Normal 206 5 2 2" xfId="17532" xr:uid="{00000000-0005-0000-0000-00007C440000}"/>
    <cellStyle name="Normal 206 5 3" xfId="17533" xr:uid="{00000000-0005-0000-0000-00007D440000}"/>
    <cellStyle name="Normal 206 6" xfId="17534" xr:uid="{00000000-0005-0000-0000-00007E440000}"/>
    <cellStyle name="Normal 206 6 2" xfId="17535" xr:uid="{00000000-0005-0000-0000-00007F440000}"/>
    <cellStyle name="Normal 206 6 2 2" xfId="17536" xr:uid="{00000000-0005-0000-0000-000080440000}"/>
    <cellStyle name="Normal 206 6 3" xfId="17537" xr:uid="{00000000-0005-0000-0000-000081440000}"/>
    <cellStyle name="Normal 206 7" xfId="17538" xr:uid="{00000000-0005-0000-0000-000082440000}"/>
    <cellStyle name="Normal 207" xfId="17539" xr:uid="{00000000-0005-0000-0000-000083440000}"/>
    <cellStyle name="Normal 207 2" xfId="17540" xr:uid="{00000000-0005-0000-0000-000084440000}"/>
    <cellStyle name="Normal 207 2 2" xfId="17541" xr:uid="{00000000-0005-0000-0000-000085440000}"/>
    <cellStyle name="Normal 207 2 2 2" xfId="17542" xr:uid="{00000000-0005-0000-0000-000086440000}"/>
    <cellStyle name="Normal 207 2 3" xfId="17543" xr:uid="{00000000-0005-0000-0000-000087440000}"/>
    <cellStyle name="Normal 207 2 3 2" xfId="17544" xr:uid="{00000000-0005-0000-0000-000088440000}"/>
    <cellStyle name="Normal 207 2 3 2 2" xfId="17545" xr:uid="{00000000-0005-0000-0000-000089440000}"/>
    <cellStyle name="Normal 207 2 3 3" xfId="17546" xr:uid="{00000000-0005-0000-0000-00008A440000}"/>
    <cellStyle name="Normal 207 2 4" xfId="17547" xr:uid="{00000000-0005-0000-0000-00008B440000}"/>
    <cellStyle name="Normal 207 2 4 2" xfId="17548" xr:uid="{00000000-0005-0000-0000-00008C440000}"/>
    <cellStyle name="Normal 207 2 4 2 2" xfId="17549" xr:uid="{00000000-0005-0000-0000-00008D440000}"/>
    <cellStyle name="Normal 207 2 4 3" xfId="17550" xr:uid="{00000000-0005-0000-0000-00008E440000}"/>
    <cellStyle name="Normal 207 2 5" xfId="17551" xr:uid="{00000000-0005-0000-0000-00008F440000}"/>
    <cellStyle name="Normal 207 3" xfId="17552" xr:uid="{00000000-0005-0000-0000-000090440000}"/>
    <cellStyle name="Normal 207 3 2" xfId="17553" xr:uid="{00000000-0005-0000-0000-000091440000}"/>
    <cellStyle name="Normal 207 3 2 2" xfId="17554" xr:uid="{00000000-0005-0000-0000-000092440000}"/>
    <cellStyle name="Normal 207 3 2 2 2" xfId="17555" xr:uid="{00000000-0005-0000-0000-000093440000}"/>
    <cellStyle name="Normal 207 3 2 3" xfId="17556" xr:uid="{00000000-0005-0000-0000-000094440000}"/>
    <cellStyle name="Normal 207 3 2 3 2" xfId="17557" xr:uid="{00000000-0005-0000-0000-000095440000}"/>
    <cellStyle name="Normal 207 3 2 3 2 2" xfId="17558" xr:uid="{00000000-0005-0000-0000-000096440000}"/>
    <cellStyle name="Normal 207 3 2 3 3" xfId="17559" xr:uid="{00000000-0005-0000-0000-000097440000}"/>
    <cellStyle name="Normal 207 3 2 4" xfId="17560" xr:uid="{00000000-0005-0000-0000-000098440000}"/>
    <cellStyle name="Normal 207 3 3" xfId="17561" xr:uid="{00000000-0005-0000-0000-000099440000}"/>
    <cellStyle name="Normal 207 3 3 2" xfId="17562" xr:uid="{00000000-0005-0000-0000-00009A440000}"/>
    <cellStyle name="Normal 207 3 3 2 2" xfId="17563" xr:uid="{00000000-0005-0000-0000-00009B440000}"/>
    <cellStyle name="Normal 207 3 3 3" xfId="17564" xr:uid="{00000000-0005-0000-0000-00009C440000}"/>
    <cellStyle name="Normal 207 3 4" xfId="17565" xr:uid="{00000000-0005-0000-0000-00009D440000}"/>
    <cellStyle name="Normal 207 3 4 2" xfId="17566" xr:uid="{00000000-0005-0000-0000-00009E440000}"/>
    <cellStyle name="Normal 207 3 4 2 2" xfId="17567" xr:uid="{00000000-0005-0000-0000-00009F440000}"/>
    <cellStyle name="Normal 207 3 4 3" xfId="17568" xr:uid="{00000000-0005-0000-0000-0000A0440000}"/>
    <cellStyle name="Normal 207 3 5" xfId="17569" xr:uid="{00000000-0005-0000-0000-0000A1440000}"/>
    <cellStyle name="Normal 207 3 5 2" xfId="17570" xr:uid="{00000000-0005-0000-0000-0000A2440000}"/>
    <cellStyle name="Normal 207 3 5 2 2" xfId="17571" xr:uid="{00000000-0005-0000-0000-0000A3440000}"/>
    <cellStyle name="Normal 207 3 5 3" xfId="17572" xr:uid="{00000000-0005-0000-0000-0000A4440000}"/>
    <cellStyle name="Normal 207 3 6" xfId="17573" xr:uid="{00000000-0005-0000-0000-0000A5440000}"/>
    <cellStyle name="Normal 207 4" xfId="17574" xr:uid="{00000000-0005-0000-0000-0000A6440000}"/>
    <cellStyle name="Normal 207 4 2" xfId="17575" xr:uid="{00000000-0005-0000-0000-0000A7440000}"/>
    <cellStyle name="Normal 207 4 2 2" xfId="17576" xr:uid="{00000000-0005-0000-0000-0000A8440000}"/>
    <cellStyle name="Normal 207 4 3" xfId="17577" xr:uid="{00000000-0005-0000-0000-0000A9440000}"/>
    <cellStyle name="Normal 207 5" xfId="17578" xr:uid="{00000000-0005-0000-0000-0000AA440000}"/>
    <cellStyle name="Normal 207 5 2" xfId="17579" xr:uid="{00000000-0005-0000-0000-0000AB440000}"/>
    <cellStyle name="Normal 207 5 2 2" xfId="17580" xr:uid="{00000000-0005-0000-0000-0000AC440000}"/>
    <cellStyle name="Normal 207 5 3" xfId="17581" xr:uid="{00000000-0005-0000-0000-0000AD440000}"/>
    <cellStyle name="Normal 207 6" xfId="17582" xr:uid="{00000000-0005-0000-0000-0000AE440000}"/>
    <cellStyle name="Normal 207 6 2" xfId="17583" xr:uid="{00000000-0005-0000-0000-0000AF440000}"/>
    <cellStyle name="Normal 207 6 2 2" xfId="17584" xr:uid="{00000000-0005-0000-0000-0000B0440000}"/>
    <cellStyle name="Normal 207 6 3" xfId="17585" xr:uid="{00000000-0005-0000-0000-0000B1440000}"/>
    <cellStyle name="Normal 207 7" xfId="17586" xr:uid="{00000000-0005-0000-0000-0000B2440000}"/>
    <cellStyle name="Normal 208" xfId="17587" xr:uid="{00000000-0005-0000-0000-0000B3440000}"/>
    <cellStyle name="Normal 208 2" xfId="17588" xr:uid="{00000000-0005-0000-0000-0000B4440000}"/>
    <cellStyle name="Normal 208 2 2" xfId="17589" xr:uid="{00000000-0005-0000-0000-0000B5440000}"/>
    <cellStyle name="Normal 208 2 2 2" xfId="17590" xr:uid="{00000000-0005-0000-0000-0000B6440000}"/>
    <cellStyle name="Normal 208 2 3" xfId="17591" xr:uid="{00000000-0005-0000-0000-0000B7440000}"/>
    <cellStyle name="Normal 208 2 3 2" xfId="17592" xr:uid="{00000000-0005-0000-0000-0000B8440000}"/>
    <cellStyle name="Normal 208 2 3 2 2" xfId="17593" xr:uid="{00000000-0005-0000-0000-0000B9440000}"/>
    <cellStyle name="Normal 208 2 3 3" xfId="17594" xr:uid="{00000000-0005-0000-0000-0000BA440000}"/>
    <cellStyle name="Normal 208 2 4" xfId="17595" xr:uid="{00000000-0005-0000-0000-0000BB440000}"/>
    <cellStyle name="Normal 208 2 4 2" xfId="17596" xr:uid="{00000000-0005-0000-0000-0000BC440000}"/>
    <cellStyle name="Normal 208 2 4 2 2" xfId="17597" xr:uid="{00000000-0005-0000-0000-0000BD440000}"/>
    <cellStyle name="Normal 208 2 4 3" xfId="17598" xr:uid="{00000000-0005-0000-0000-0000BE440000}"/>
    <cellStyle name="Normal 208 2 5" xfId="17599" xr:uid="{00000000-0005-0000-0000-0000BF440000}"/>
    <cellStyle name="Normal 208 3" xfId="17600" xr:uid="{00000000-0005-0000-0000-0000C0440000}"/>
    <cellStyle name="Normal 208 3 2" xfId="17601" xr:uid="{00000000-0005-0000-0000-0000C1440000}"/>
    <cellStyle name="Normal 208 3 2 2" xfId="17602" xr:uid="{00000000-0005-0000-0000-0000C2440000}"/>
    <cellStyle name="Normal 208 3 2 2 2" xfId="17603" xr:uid="{00000000-0005-0000-0000-0000C3440000}"/>
    <cellStyle name="Normal 208 3 2 3" xfId="17604" xr:uid="{00000000-0005-0000-0000-0000C4440000}"/>
    <cellStyle name="Normal 208 3 2 3 2" xfId="17605" xr:uid="{00000000-0005-0000-0000-0000C5440000}"/>
    <cellStyle name="Normal 208 3 2 3 2 2" xfId="17606" xr:uid="{00000000-0005-0000-0000-0000C6440000}"/>
    <cellStyle name="Normal 208 3 2 3 3" xfId="17607" xr:uid="{00000000-0005-0000-0000-0000C7440000}"/>
    <cellStyle name="Normal 208 3 2 4" xfId="17608" xr:uid="{00000000-0005-0000-0000-0000C8440000}"/>
    <cellStyle name="Normal 208 3 3" xfId="17609" xr:uid="{00000000-0005-0000-0000-0000C9440000}"/>
    <cellStyle name="Normal 208 3 3 2" xfId="17610" xr:uid="{00000000-0005-0000-0000-0000CA440000}"/>
    <cellStyle name="Normal 208 3 3 2 2" xfId="17611" xr:uid="{00000000-0005-0000-0000-0000CB440000}"/>
    <cellStyle name="Normal 208 3 3 3" xfId="17612" xr:uid="{00000000-0005-0000-0000-0000CC440000}"/>
    <cellStyle name="Normal 208 3 4" xfId="17613" xr:uid="{00000000-0005-0000-0000-0000CD440000}"/>
    <cellStyle name="Normal 208 3 4 2" xfId="17614" xr:uid="{00000000-0005-0000-0000-0000CE440000}"/>
    <cellStyle name="Normal 208 3 4 2 2" xfId="17615" xr:uid="{00000000-0005-0000-0000-0000CF440000}"/>
    <cellStyle name="Normal 208 3 4 3" xfId="17616" xr:uid="{00000000-0005-0000-0000-0000D0440000}"/>
    <cellStyle name="Normal 208 3 5" xfId="17617" xr:uid="{00000000-0005-0000-0000-0000D1440000}"/>
    <cellStyle name="Normal 208 3 5 2" xfId="17618" xr:uid="{00000000-0005-0000-0000-0000D2440000}"/>
    <cellStyle name="Normal 208 3 5 2 2" xfId="17619" xr:uid="{00000000-0005-0000-0000-0000D3440000}"/>
    <cellStyle name="Normal 208 3 5 3" xfId="17620" xr:uid="{00000000-0005-0000-0000-0000D4440000}"/>
    <cellStyle name="Normal 208 3 6" xfId="17621" xr:uid="{00000000-0005-0000-0000-0000D5440000}"/>
    <cellStyle name="Normal 208 4" xfId="17622" xr:uid="{00000000-0005-0000-0000-0000D6440000}"/>
    <cellStyle name="Normal 208 4 2" xfId="17623" xr:uid="{00000000-0005-0000-0000-0000D7440000}"/>
    <cellStyle name="Normal 208 4 2 2" xfId="17624" xr:uid="{00000000-0005-0000-0000-0000D8440000}"/>
    <cellStyle name="Normal 208 4 3" xfId="17625" xr:uid="{00000000-0005-0000-0000-0000D9440000}"/>
    <cellStyle name="Normal 208 5" xfId="17626" xr:uid="{00000000-0005-0000-0000-0000DA440000}"/>
    <cellStyle name="Normal 208 5 2" xfId="17627" xr:uid="{00000000-0005-0000-0000-0000DB440000}"/>
    <cellStyle name="Normal 208 5 2 2" xfId="17628" xr:uid="{00000000-0005-0000-0000-0000DC440000}"/>
    <cellStyle name="Normal 208 5 3" xfId="17629" xr:uid="{00000000-0005-0000-0000-0000DD440000}"/>
    <cellStyle name="Normal 208 6" xfId="17630" xr:uid="{00000000-0005-0000-0000-0000DE440000}"/>
    <cellStyle name="Normal 208 6 2" xfId="17631" xr:uid="{00000000-0005-0000-0000-0000DF440000}"/>
    <cellStyle name="Normal 208 6 2 2" xfId="17632" xr:uid="{00000000-0005-0000-0000-0000E0440000}"/>
    <cellStyle name="Normal 208 6 3" xfId="17633" xr:uid="{00000000-0005-0000-0000-0000E1440000}"/>
    <cellStyle name="Normal 208 7" xfId="17634" xr:uid="{00000000-0005-0000-0000-0000E2440000}"/>
    <cellStyle name="Normal 209" xfId="17635" xr:uid="{00000000-0005-0000-0000-0000E3440000}"/>
    <cellStyle name="Normal 209 2" xfId="17636" xr:uid="{00000000-0005-0000-0000-0000E4440000}"/>
    <cellStyle name="Normal 209 2 2" xfId="17637" xr:uid="{00000000-0005-0000-0000-0000E5440000}"/>
    <cellStyle name="Normal 209 2 2 2" xfId="17638" xr:uid="{00000000-0005-0000-0000-0000E6440000}"/>
    <cellStyle name="Normal 209 2 3" xfId="17639" xr:uid="{00000000-0005-0000-0000-0000E7440000}"/>
    <cellStyle name="Normal 209 2 3 2" xfId="17640" xr:uid="{00000000-0005-0000-0000-0000E8440000}"/>
    <cellStyle name="Normal 209 2 3 2 2" xfId="17641" xr:uid="{00000000-0005-0000-0000-0000E9440000}"/>
    <cellStyle name="Normal 209 2 3 3" xfId="17642" xr:uid="{00000000-0005-0000-0000-0000EA440000}"/>
    <cellStyle name="Normal 209 2 4" xfId="17643" xr:uid="{00000000-0005-0000-0000-0000EB440000}"/>
    <cellStyle name="Normal 209 2 4 2" xfId="17644" xr:uid="{00000000-0005-0000-0000-0000EC440000}"/>
    <cellStyle name="Normal 209 2 4 2 2" xfId="17645" xr:uid="{00000000-0005-0000-0000-0000ED440000}"/>
    <cellStyle name="Normal 209 2 4 3" xfId="17646" xr:uid="{00000000-0005-0000-0000-0000EE440000}"/>
    <cellStyle name="Normal 209 2 5" xfId="17647" xr:uid="{00000000-0005-0000-0000-0000EF440000}"/>
    <cellStyle name="Normal 209 3" xfId="17648" xr:uid="{00000000-0005-0000-0000-0000F0440000}"/>
    <cellStyle name="Normal 209 3 2" xfId="17649" xr:uid="{00000000-0005-0000-0000-0000F1440000}"/>
    <cellStyle name="Normal 209 3 2 2" xfId="17650" xr:uid="{00000000-0005-0000-0000-0000F2440000}"/>
    <cellStyle name="Normal 209 3 2 2 2" xfId="17651" xr:uid="{00000000-0005-0000-0000-0000F3440000}"/>
    <cellStyle name="Normal 209 3 2 3" xfId="17652" xr:uid="{00000000-0005-0000-0000-0000F4440000}"/>
    <cellStyle name="Normal 209 3 2 3 2" xfId="17653" xr:uid="{00000000-0005-0000-0000-0000F5440000}"/>
    <cellStyle name="Normal 209 3 2 3 2 2" xfId="17654" xr:uid="{00000000-0005-0000-0000-0000F6440000}"/>
    <cellStyle name="Normal 209 3 2 3 3" xfId="17655" xr:uid="{00000000-0005-0000-0000-0000F7440000}"/>
    <cellStyle name="Normal 209 3 2 4" xfId="17656" xr:uid="{00000000-0005-0000-0000-0000F8440000}"/>
    <cellStyle name="Normal 209 3 3" xfId="17657" xr:uid="{00000000-0005-0000-0000-0000F9440000}"/>
    <cellStyle name="Normal 209 3 3 2" xfId="17658" xr:uid="{00000000-0005-0000-0000-0000FA440000}"/>
    <cellStyle name="Normal 209 3 3 2 2" xfId="17659" xr:uid="{00000000-0005-0000-0000-0000FB440000}"/>
    <cellStyle name="Normal 209 3 3 3" xfId="17660" xr:uid="{00000000-0005-0000-0000-0000FC440000}"/>
    <cellStyle name="Normal 209 3 4" xfId="17661" xr:uid="{00000000-0005-0000-0000-0000FD440000}"/>
    <cellStyle name="Normal 209 3 4 2" xfId="17662" xr:uid="{00000000-0005-0000-0000-0000FE440000}"/>
    <cellStyle name="Normal 209 3 4 2 2" xfId="17663" xr:uid="{00000000-0005-0000-0000-0000FF440000}"/>
    <cellStyle name="Normal 209 3 4 3" xfId="17664" xr:uid="{00000000-0005-0000-0000-000000450000}"/>
    <cellStyle name="Normal 209 3 5" xfId="17665" xr:uid="{00000000-0005-0000-0000-000001450000}"/>
    <cellStyle name="Normal 209 3 5 2" xfId="17666" xr:uid="{00000000-0005-0000-0000-000002450000}"/>
    <cellStyle name="Normal 209 3 5 2 2" xfId="17667" xr:uid="{00000000-0005-0000-0000-000003450000}"/>
    <cellStyle name="Normal 209 3 5 3" xfId="17668" xr:uid="{00000000-0005-0000-0000-000004450000}"/>
    <cellStyle name="Normal 209 3 6" xfId="17669" xr:uid="{00000000-0005-0000-0000-000005450000}"/>
    <cellStyle name="Normal 209 4" xfId="17670" xr:uid="{00000000-0005-0000-0000-000006450000}"/>
    <cellStyle name="Normal 209 4 2" xfId="17671" xr:uid="{00000000-0005-0000-0000-000007450000}"/>
    <cellStyle name="Normal 209 4 2 2" xfId="17672" xr:uid="{00000000-0005-0000-0000-000008450000}"/>
    <cellStyle name="Normal 209 4 3" xfId="17673" xr:uid="{00000000-0005-0000-0000-000009450000}"/>
    <cellStyle name="Normal 209 5" xfId="17674" xr:uid="{00000000-0005-0000-0000-00000A450000}"/>
    <cellStyle name="Normal 209 5 2" xfId="17675" xr:uid="{00000000-0005-0000-0000-00000B450000}"/>
    <cellStyle name="Normal 209 5 2 2" xfId="17676" xr:uid="{00000000-0005-0000-0000-00000C450000}"/>
    <cellStyle name="Normal 209 5 3" xfId="17677" xr:uid="{00000000-0005-0000-0000-00000D450000}"/>
    <cellStyle name="Normal 209 6" xfId="17678" xr:uid="{00000000-0005-0000-0000-00000E450000}"/>
    <cellStyle name="Normal 209 6 2" xfId="17679" xr:uid="{00000000-0005-0000-0000-00000F450000}"/>
    <cellStyle name="Normal 209 6 2 2" xfId="17680" xr:uid="{00000000-0005-0000-0000-000010450000}"/>
    <cellStyle name="Normal 209 6 3" xfId="17681" xr:uid="{00000000-0005-0000-0000-000011450000}"/>
    <cellStyle name="Normal 209 7" xfId="17682" xr:uid="{00000000-0005-0000-0000-000012450000}"/>
    <cellStyle name="Normal 21" xfId="17683" xr:uid="{00000000-0005-0000-0000-000013450000}"/>
    <cellStyle name="Normal 21 2" xfId="17684" xr:uid="{00000000-0005-0000-0000-000014450000}"/>
    <cellStyle name="Normal 21 2 2" xfId="17685" xr:uid="{00000000-0005-0000-0000-000015450000}"/>
    <cellStyle name="Normal 21 2 2 2" xfId="17686" xr:uid="{00000000-0005-0000-0000-000016450000}"/>
    <cellStyle name="Normal 21 2 2 2 2" xfId="17687" xr:uid="{00000000-0005-0000-0000-000017450000}"/>
    <cellStyle name="Normal 21 2 2 3" xfId="17688" xr:uid="{00000000-0005-0000-0000-000018450000}"/>
    <cellStyle name="Normal 21 2 2 3 2" xfId="17689" xr:uid="{00000000-0005-0000-0000-000019450000}"/>
    <cellStyle name="Normal 21 2 2 3 2 2" xfId="17690" xr:uid="{00000000-0005-0000-0000-00001A450000}"/>
    <cellStyle name="Normal 21 2 2 3 3" xfId="17691" xr:uid="{00000000-0005-0000-0000-00001B450000}"/>
    <cellStyle name="Normal 21 2 2 4" xfId="17692" xr:uid="{00000000-0005-0000-0000-00001C450000}"/>
    <cellStyle name="Normal 21 2 2 4 2" xfId="17693" xr:uid="{00000000-0005-0000-0000-00001D450000}"/>
    <cellStyle name="Normal 21 2 2 4 2 2" xfId="17694" xr:uid="{00000000-0005-0000-0000-00001E450000}"/>
    <cellStyle name="Normal 21 2 2 4 3" xfId="17695" xr:uid="{00000000-0005-0000-0000-00001F450000}"/>
    <cellStyle name="Normal 21 2 2 5" xfId="17696" xr:uid="{00000000-0005-0000-0000-000020450000}"/>
    <cellStyle name="Normal 21 2 3" xfId="17697" xr:uid="{00000000-0005-0000-0000-000021450000}"/>
    <cellStyle name="Normal 21 2 3 2" xfId="17698" xr:uid="{00000000-0005-0000-0000-000022450000}"/>
    <cellStyle name="Normal 21 2 3 2 2" xfId="17699" xr:uid="{00000000-0005-0000-0000-000023450000}"/>
    <cellStyle name="Normal 21 2 3 3" xfId="17700" xr:uid="{00000000-0005-0000-0000-000024450000}"/>
    <cellStyle name="Normal 21 2 4" xfId="17701" xr:uid="{00000000-0005-0000-0000-000025450000}"/>
    <cellStyle name="Normal 21 2 4 2" xfId="17702" xr:uid="{00000000-0005-0000-0000-000026450000}"/>
    <cellStyle name="Normal 21 2 4 2 2" xfId="17703" xr:uid="{00000000-0005-0000-0000-000027450000}"/>
    <cellStyle name="Normal 21 2 4 3" xfId="17704" xr:uid="{00000000-0005-0000-0000-000028450000}"/>
    <cellStyle name="Normal 21 2 5" xfId="17705" xr:uid="{00000000-0005-0000-0000-000029450000}"/>
    <cellStyle name="Normal 21 2 5 2" xfId="17706" xr:uid="{00000000-0005-0000-0000-00002A450000}"/>
    <cellStyle name="Normal 21 2 5 2 2" xfId="17707" xr:uid="{00000000-0005-0000-0000-00002B450000}"/>
    <cellStyle name="Normal 21 2 5 3" xfId="17708" xr:uid="{00000000-0005-0000-0000-00002C450000}"/>
    <cellStyle name="Normal 21 2 6" xfId="17709" xr:uid="{00000000-0005-0000-0000-00002D450000}"/>
    <cellStyle name="Normal 21 3" xfId="17710" xr:uid="{00000000-0005-0000-0000-00002E450000}"/>
    <cellStyle name="Normal 21 3 2" xfId="17711" xr:uid="{00000000-0005-0000-0000-00002F450000}"/>
    <cellStyle name="Normal 21 3 2 2" xfId="17712" xr:uid="{00000000-0005-0000-0000-000030450000}"/>
    <cellStyle name="Normal 21 3 3" xfId="17713" xr:uid="{00000000-0005-0000-0000-000031450000}"/>
    <cellStyle name="Normal 21 3 3 2" xfId="17714" xr:uid="{00000000-0005-0000-0000-000032450000}"/>
    <cellStyle name="Normal 21 3 3 2 2" xfId="17715" xr:uid="{00000000-0005-0000-0000-000033450000}"/>
    <cellStyle name="Normal 21 3 3 3" xfId="17716" xr:uid="{00000000-0005-0000-0000-000034450000}"/>
    <cellStyle name="Normal 21 3 4" xfId="17717" xr:uid="{00000000-0005-0000-0000-000035450000}"/>
    <cellStyle name="Normal 21 3 4 2" xfId="17718" xr:uid="{00000000-0005-0000-0000-000036450000}"/>
    <cellStyle name="Normal 21 3 4 2 2" xfId="17719" xr:uid="{00000000-0005-0000-0000-000037450000}"/>
    <cellStyle name="Normal 21 3 4 3" xfId="17720" xr:uid="{00000000-0005-0000-0000-000038450000}"/>
    <cellStyle name="Normal 21 3 5" xfId="17721" xr:uid="{00000000-0005-0000-0000-000039450000}"/>
    <cellStyle name="Normal 21 4" xfId="17722" xr:uid="{00000000-0005-0000-0000-00003A450000}"/>
    <cellStyle name="Normal 21 4 2" xfId="17723" xr:uid="{00000000-0005-0000-0000-00003B450000}"/>
    <cellStyle name="Normal 21 4 2 2" xfId="17724" xr:uid="{00000000-0005-0000-0000-00003C450000}"/>
    <cellStyle name="Normal 21 4 2 2 2" xfId="17725" xr:uid="{00000000-0005-0000-0000-00003D450000}"/>
    <cellStyle name="Normal 21 4 2 3" xfId="17726" xr:uid="{00000000-0005-0000-0000-00003E450000}"/>
    <cellStyle name="Normal 21 4 2 3 2" xfId="17727" xr:uid="{00000000-0005-0000-0000-00003F450000}"/>
    <cellStyle name="Normal 21 4 2 3 2 2" xfId="17728" xr:uid="{00000000-0005-0000-0000-000040450000}"/>
    <cellStyle name="Normal 21 4 2 3 3" xfId="17729" xr:uid="{00000000-0005-0000-0000-000041450000}"/>
    <cellStyle name="Normal 21 4 2 4" xfId="17730" xr:uid="{00000000-0005-0000-0000-000042450000}"/>
    <cellStyle name="Normal 21 4 3" xfId="17731" xr:uid="{00000000-0005-0000-0000-000043450000}"/>
    <cellStyle name="Normal 21 4 3 2" xfId="17732" xr:uid="{00000000-0005-0000-0000-000044450000}"/>
    <cellStyle name="Normal 21 4 3 2 2" xfId="17733" xr:uid="{00000000-0005-0000-0000-000045450000}"/>
    <cellStyle name="Normal 21 4 3 3" xfId="17734" xr:uid="{00000000-0005-0000-0000-000046450000}"/>
    <cellStyle name="Normal 21 4 4" xfId="17735" xr:uid="{00000000-0005-0000-0000-000047450000}"/>
    <cellStyle name="Normal 21 4 4 2" xfId="17736" xr:uid="{00000000-0005-0000-0000-000048450000}"/>
    <cellStyle name="Normal 21 4 4 2 2" xfId="17737" xr:uid="{00000000-0005-0000-0000-000049450000}"/>
    <cellStyle name="Normal 21 4 4 3" xfId="17738" xr:uid="{00000000-0005-0000-0000-00004A450000}"/>
    <cellStyle name="Normal 21 4 5" xfId="17739" xr:uid="{00000000-0005-0000-0000-00004B450000}"/>
    <cellStyle name="Normal 21 4 5 2" xfId="17740" xr:uid="{00000000-0005-0000-0000-00004C450000}"/>
    <cellStyle name="Normal 21 4 5 2 2" xfId="17741" xr:uid="{00000000-0005-0000-0000-00004D450000}"/>
    <cellStyle name="Normal 21 4 5 3" xfId="17742" xr:uid="{00000000-0005-0000-0000-00004E450000}"/>
    <cellStyle name="Normal 21 4 6" xfId="17743" xr:uid="{00000000-0005-0000-0000-00004F450000}"/>
    <cellStyle name="Normal 21 5" xfId="17744" xr:uid="{00000000-0005-0000-0000-000050450000}"/>
    <cellStyle name="Normal 210" xfId="17745" xr:uid="{00000000-0005-0000-0000-000051450000}"/>
    <cellStyle name="Normal 210 2" xfId="17746" xr:uid="{00000000-0005-0000-0000-000052450000}"/>
    <cellStyle name="Normal 210 2 2" xfId="17747" xr:uid="{00000000-0005-0000-0000-000053450000}"/>
    <cellStyle name="Normal 210 2 2 2" xfId="17748" xr:uid="{00000000-0005-0000-0000-000054450000}"/>
    <cellStyle name="Normal 210 2 3" xfId="17749" xr:uid="{00000000-0005-0000-0000-000055450000}"/>
    <cellStyle name="Normal 210 2 3 2" xfId="17750" xr:uid="{00000000-0005-0000-0000-000056450000}"/>
    <cellStyle name="Normal 210 2 3 2 2" xfId="17751" xr:uid="{00000000-0005-0000-0000-000057450000}"/>
    <cellStyle name="Normal 210 2 3 3" xfId="17752" xr:uid="{00000000-0005-0000-0000-000058450000}"/>
    <cellStyle name="Normal 210 2 4" xfId="17753" xr:uid="{00000000-0005-0000-0000-000059450000}"/>
    <cellStyle name="Normal 210 2 4 2" xfId="17754" xr:uid="{00000000-0005-0000-0000-00005A450000}"/>
    <cellStyle name="Normal 210 2 4 2 2" xfId="17755" xr:uid="{00000000-0005-0000-0000-00005B450000}"/>
    <cellStyle name="Normal 210 2 4 3" xfId="17756" xr:uid="{00000000-0005-0000-0000-00005C450000}"/>
    <cellStyle name="Normal 210 2 5" xfId="17757" xr:uid="{00000000-0005-0000-0000-00005D450000}"/>
    <cellStyle name="Normal 210 3" xfId="17758" xr:uid="{00000000-0005-0000-0000-00005E450000}"/>
    <cellStyle name="Normal 210 3 2" xfId="17759" xr:uid="{00000000-0005-0000-0000-00005F450000}"/>
    <cellStyle name="Normal 210 3 2 2" xfId="17760" xr:uid="{00000000-0005-0000-0000-000060450000}"/>
    <cellStyle name="Normal 210 3 2 2 2" xfId="17761" xr:uid="{00000000-0005-0000-0000-000061450000}"/>
    <cellStyle name="Normal 210 3 2 3" xfId="17762" xr:uid="{00000000-0005-0000-0000-000062450000}"/>
    <cellStyle name="Normal 210 3 2 3 2" xfId="17763" xr:uid="{00000000-0005-0000-0000-000063450000}"/>
    <cellStyle name="Normal 210 3 2 3 2 2" xfId="17764" xr:uid="{00000000-0005-0000-0000-000064450000}"/>
    <cellStyle name="Normal 210 3 2 3 3" xfId="17765" xr:uid="{00000000-0005-0000-0000-000065450000}"/>
    <cellStyle name="Normal 210 3 2 4" xfId="17766" xr:uid="{00000000-0005-0000-0000-000066450000}"/>
    <cellStyle name="Normal 210 3 3" xfId="17767" xr:uid="{00000000-0005-0000-0000-000067450000}"/>
    <cellStyle name="Normal 210 3 3 2" xfId="17768" xr:uid="{00000000-0005-0000-0000-000068450000}"/>
    <cellStyle name="Normal 210 3 3 2 2" xfId="17769" xr:uid="{00000000-0005-0000-0000-000069450000}"/>
    <cellStyle name="Normal 210 3 3 3" xfId="17770" xr:uid="{00000000-0005-0000-0000-00006A450000}"/>
    <cellStyle name="Normal 210 3 4" xfId="17771" xr:uid="{00000000-0005-0000-0000-00006B450000}"/>
    <cellStyle name="Normal 210 3 4 2" xfId="17772" xr:uid="{00000000-0005-0000-0000-00006C450000}"/>
    <cellStyle name="Normal 210 3 4 2 2" xfId="17773" xr:uid="{00000000-0005-0000-0000-00006D450000}"/>
    <cellStyle name="Normal 210 3 4 3" xfId="17774" xr:uid="{00000000-0005-0000-0000-00006E450000}"/>
    <cellStyle name="Normal 210 3 5" xfId="17775" xr:uid="{00000000-0005-0000-0000-00006F450000}"/>
    <cellStyle name="Normal 210 3 5 2" xfId="17776" xr:uid="{00000000-0005-0000-0000-000070450000}"/>
    <cellStyle name="Normal 210 3 5 2 2" xfId="17777" xr:uid="{00000000-0005-0000-0000-000071450000}"/>
    <cellStyle name="Normal 210 3 5 3" xfId="17778" xr:uid="{00000000-0005-0000-0000-000072450000}"/>
    <cellStyle name="Normal 210 3 6" xfId="17779" xr:uid="{00000000-0005-0000-0000-000073450000}"/>
    <cellStyle name="Normal 210 4" xfId="17780" xr:uid="{00000000-0005-0000-0000-000074450000}"/>
    <cellStyle name="Normal 210 4 2" xfId="17781" xr:uid="{00000000-0005-0000-0000-000075450000}"/>
    <cellStyle name="Normal 210 4 2 2" xfId="17782" xr:uid="{00000000-0005-0000-0000-000076450000}"/>
    <cellStyle name="Normal 210 4 3" xfId="17783" xr:uid="{00000000-0005-0000-0000-000077450000}"/>
    <cellStyle name="Normal 210 5" xfId="17784" xr:uid="{00000000-0005-0000-0000-000078450000}"/>
    <cellStyle name="Normal 210 5 2" xfId="17785" xr:uid="{00000000-0005-0000-0000-000079450000}"/>
    <cellStyle name="Normal 210 5 2 2" xfId="17786" xr:uid="{00000000-0005-0000-0000-00007A450000}"/>
    <cellStyle name="Normal 210 5 3" xfId="17787" xr:uid="{00000000-0005-0000-0000-00007B450000}"/>
    <cellStyle name="Normal 210 6" xfId="17788" xr:uid="{00000000-0005-0000-0000-00007C450000}"/>
    <cellStyle name="Normal 210 6 2" xfId="17789" xr:uid="{00000000-0005-0000-0000-00007D450000}"/>
    <cellStyle name="Normal 210 6 2 2" xfId="17790" xr:uid="{00000000-0005-0000-0000-00007E450000}"/>
    <cellStyle name="Normal 210 6 3" xfId="17791" xr:uid="{00000000-0005-0000-0000-00007F450000}"/>
    <cellStyle name="Normal 210 7" xfId="17792" xr:uid="{00000000-0005-0000-0000-000080450000}"/>
    <cellStyle name="Normal 211" xfId="17793" xr:uid="{00000000-0005-0000-0000-000081450000}"/>
    <cellStyle name="Normal 211 2" xfId="17794" xr:uid="{00000000-0005-0000-0000-000082450000}"/>
    <cellStyle name="Normal 211 2 2" xfId="17795" xr:uid="{00000000-0005-0000-0000-000083450000}"/>
    <cellStyle name="Normal 211 2 2 2" xfId="17796" xr:uid="{00000000-0005-0000-0000-000084450000}"/>
    <cellStyle name="Normal 211 2 3" xfId="17797" xr:uid="{00000000-0005-0000-0000-000085450000}"/>
    <cellStyle name="Normal 211 2 3 2" xfId="17798" xr:uid="{00000000-0005-0000-0000-000086450000}"/>
    <cellStyle name="Normal 211 2 3 2 2" xfId="17799" xr:uid="{00000000-0005-0000-0000-000087450000}"/>
    <cellStyle name="Normal 211 2 3 3" xfId="17800" xr:uid="{00000000-0005-0000-0000-000088450000}"/>
    <cellStyle name="Normal 211 2 4" xfId="17801" xr:uid="{00000000-0005-0000-0000-000089450000}"/>
    <cellStyle name="Normal 211 2 4 2" xfId="17802" xr:uid="{00000000-0005-0000-0000-00008A450000}"/>
    <cellStyle name="Normal 211 2 4 2 2" xfId="17803" xr:uid="{00000000-0005-0000-0000-00008B450000}"/>
    <cellStyle name="Normal 211 2 4 3" xfId="17804" xr:uid="{00000000-0005-0000-0000-00008C450000}"/>
    <cellStyle name="Normal 211 2 5" xfId="17805" xr:uid="{00000000-0005-0000-0000-00008D450000}"/>
    <cellStyle name="Normal 211 3" xfId="17806" xr:uid="{00000000-0005-0000-0000-00008E450000}"/>
    <cellStyle name="Normal 211 3 2" xfId="17807" xr:uid="{00000000-0005-0000-0000-00008F450000}"/>
    <cellStyle name="Normal 211 3 2 2" xfId="17808" xr:uid="{00000000-0005-0000-0000-000090450000}"/>
    <cellStyle name="Normal 211 3 2 2 2" xfId="17809" xr:uid="{00000000-0005-0000-0000-000091450000}"/>
    <cellStyle name="Normal 211 3 2 3" xfId="17810" xr:uid="{00000000-0005-0000-0000-000092450000}"/>
    <cellStyle name="Normal 211 3 2 3 2" xfId="17811" xr:uid="{00000000-0005-0000-0000-000093450000}"/>
    <cellStyle name="Normal 211 3 2 3 2 2" xfId="17812" xr:uid="{00000000-0005-0000-0000-000094450000}"/>
    <cellStyle name="Normal 211 3 2 3 3" xfId="17813" xr:uid="{00000000-0005-0000-0000-000095450000}"/>
    <cellStyle name="Normal 211 3 2 4" xfId="17814" xr:uid="{00000000-0005-0000-0000-000096450000}"/>
    <cellStyle name="Normal 211 3 3" xfId="17815" xr:uid="{00000000-0005-0000-0000-000097450000}"/>
    <cellStyle name="Normal 211 3 3 2" xfId="17816" xr:uid="{00000000-0005-0000-0000-000098450000}"/>
    <cellStyle name="Normal 211 3 3 2 2" xfId="17817" xr:uid="{00000000-0005-0000-0000-000099450000}"/>
    <cellStyle name="Normal 211 3 3 3" xfId="17818" xr:uid="{00000000-0005-0000-0000-00009A450000}"/>
    <cellStyle name="Normal 211 3 4" xfId="17819" xr:uid="{00000000-0005-0000-0000-00009B450000}"/>
    <cellStyle name="Normal 211 3 4 2" xfId="17820" xr:uid="{00000000-0005-0000-0000-00009C450000}"/>
    <cellStyle name="Normal 211 3 4 2 2" xfId="17821" xr:uid="{00000000-0005-0000-0000-00009D450000}"/>
    <cellStyle name="Normal 211 3 4 3" xfId="17822" xr:uid="{00000000-0005-0000-0000-00009E450000}"/>
    <cellStyle name="Normal 211 3 5" xfId="17823" xr:uid="{00000000-0005-0000-0000-00009F450000}"/>
    <cellStyle name="Normal 211 3 5 2" xfId="17824" xr:uid="{00000000-0005-0000-0000-0000A0450000}"/>
    <cellStyle name="Normal 211 3 5 2 2" xfId="17825" xr:uid="{00000000-0005-0000-0000-0000A1450000}"/>
    <cellStyle name="Normal 211 3 5 3" xfId="17826" xr:uid="{00000000-0005-0000-0000-0000A2450000}"/>
    <cellStyle name="Normal 211 3 6" xfId="17827" xr:uid="{00000000-0005-0000-0000-0000A3450000}"/>
    <cellStyle name="Normal 211 4" xfId="17828" xr:uid="{00000000-0005-0000-0000-0000A4450000}"/>
    <cellStyle name="Normal 211 4 2" xfId="17829" xr:uid="{00000000-0005-0000-0000-0000A5450000}"/>
    <cellStyle name="Normal 211 4 2 2" xfId="17830" xr:uid="{00000000-0005-0000-0000-0000A6450000}"/>
    <cellStyle name="Normal 211 4 3" xfId="17831" xr:uid="{00000000-0005-0000-0000-0000A7450000}"/>
    <cellStyle name="Normal 211 5" xfId="17832" xr:uid="{00000000-0005-0000-0000-0000A8450000}"/>
    <cellStyle name="Normal 211 5 2" xfId="17833" xr:uid="{00000000-0005-0000-0000-0000A9450000}"/>
    <cellStyle name="Normal 211 5 2 2" xfId="17834" xr:uid="{00000000-0005-0000-0000-0000AA450000}"/>
    <cellStyle name="Normal 211 5 3" xfId="17835" xr:uid="{00000000-0005-0000-0000-0000AB450000}"/>
    <cellStyle name="Normal 211 6" xfId="17836" xr:uid="{00000000-0005-0000-0000-0000AC450000}"/>
    <cellStyle name="Normal 211 6 2" xfId="17837" xr:uid="{00000000-0005-0000-0000-0000AD450000}"/>
    <cellStyle name="Normal 211 6 2 2" xfId="17838" xr:uid="{00000000-0005-0000-0000-0000AE450000}"/>
    <cellStyle name="Normal 211 6 3" xfId="17839" xr:uid="{00000000-0005-0000-0000-0000AF450000}"/>
    <cellStyle name="Normal 211 7" xfId="17840" xr:uid="{00000000-0005-0000-0000-0000B0450000}"/>
    <cellStyle name="Normal 212" xfId="17841" xr:uid="{00000000-0005-0000-0000-0000B1450000}"/>
    <cellStyle name="Normal 212 2" xfId="17842" xr:uid="{00000000-0005-0000-0000-0000B2450000}"/>
    <cellStyle name="Normal 212 2 2" xfId="17843" xr:uid="{00000000-0005-0000-0000-0000B3450000}"/>
    <cellStyle name="Normal 212 2 2 2" xfId="17844" xr:uid="{00000000-0005-0000-0000-0000B4450000}"/>
    <cellStyle name="Normal 212 2 3" xfId="17845" xr:uid="{00000000-0005-0000-0000-0000B5450000}"/>
    <cellStyle name="Normal 212 2 3 2" xfId="17846" xr:uid="{00000000-0005-0000-0000-0000B6450000}"/>
    <cellStyle name="Normal 212 2 3 2 2" xfId="17847" xr:uid="{00000000-0005-0000-0000-0000B7450000}"/>
    <cellStyle name="Normal 212 2 3 3" xfId="17848" xr:uid="{00000000-0005-0000-0000-0000B8450000}"/>
    <cellStyle name="Normal 212 2 4" xfId="17849" xr:uid="{00000000-0005-0000-0000-0000B9450000}"/>
    <cellStyle name="Normal 212 2 4 2" xfId="17850" xr:uid="{00000000-0005-0000-0000-0000BA450000}"/>
    <cellStyle name="Normal 212 2 4 2 2" xfId="17851" xr:uid="{00000000-0005-0000-0000-0000BB450000}"/>
    <cellStyle name="Normal 212 2 4 3" xfId="17852" xr:uid="{00000000-0005-0000-0000-0000BC450000}"/>
    <cellStyle name="Normal 212 2 5" xfId="17853" xr:uid="{00000000-0005-0000-0000-0000BD450000}"/>
    <cellStyle name="Normal 212 3" xfId="17854" xr:uid="{00000000-0005-0000-0000-0000BE450000}"/>
    <cellStyle name="Normal 212 3 2" xfId="17855" xr:uid="{00000000-0005-0000-0000-0000BF450000}"/>
    <cellStyle name="Normal 212 3 2 2" xfId="17856" xr:uid="{00000000-0005-0000-0000-0000C0450000}"/>
    <cellStyle name="Normal 212 3 2 2 2" xfId="17857" xr:uid="{00000000-0005-0000-0000-0000C1450000}"/>
    <cellStyle name="Normal 212 3 2 3" xfId="17858" xr:uid="{00000000-0005-0000-0000-0000C2450000}"/>
    <cellStyle name="Normal 212 3 2 3 2" xfId="17859" xr:uid="{00000000-0005-0000-0000-0000C3450000}"/>
    <cellStyle name="Normal 212 3 2 3 2 2" xfId="17860" xr:uid="{00000000-0005-0000-0000-0000C4450000}"/>
    <cellStyle name="Normal 212 3 2 3 3" xfId="17861" xr:uid="{00000000-0005-0000-0000-0000C5450000}"/>
    <cellStyle name="Normal 212 3 2 4" xfId="17862" xr:uid="{00000000-0005-0000-0000-0000C6450000}"/>
    <cellStyle name="Normal 212 3 3" xfId="17863" xr:uid="{00000000-0005-0000-0000-0000C7450000}"/>
    <cellStyle name="Normal 212 3 3 2" xfId="17864" xr:uid="{00000000-0005-0000-0000-0000C8450000}"/>
    <cellStyle name="Normal 212 3 3 2 2" xfId="17865" xr:uid="{00000000-0005-0000-0000-0000C9450000}"/>
    <cellStyle name="Normal 212 3 3 3" xfId="17866" xr:uid="{00000000-0005-0000-0000-0000CA450000}"/>
    <cellStyle name="Normal 212 3 4" xfId="17867" xr:uid="{00000000-0005-0000-0000-0000CB450000}"/>
    <cellStyle name="Normal 212 3 4 2" xfId="17868" xr:uid="{00000000-0005-0000-0000-0000CC450000}"/>
    <cellStyle name="Normal 212 3 4 2 2" xfId="17869" xr:uid="{00000000-0005-0000-0000-0000CD450000}"/>
    <cellStyle name="Normal 212 3 4 3" xfId="17870" xr:uid="{00000000-0005-0000-0000-0000CE450000}"/>
    <cellStyle name="Normal 212 3 5" xfId="17871" xr:uid="{00000000-0005-0000-0000-0000CF450000}"/>
    <cellStyle name="Normal 212 3 5 2" xfId="17872" xr:uid="{00000000-0005-0000-0000-0000D0450000}"/>
    <cellStyle name="Normal 212 3 5 2 2" xfId="17873" xr:uid="{00000000-0005-0000-0000-0000D1450000}"/>
    <cellStyle name="Normal 212 3 5 3" xfId="17874" xr:uid="{00000000-0005-0000-0000-0000D2450000}"/>
    <cellStyle name="Normal 212 3 6" xfId="17875" xr:uid="{00000000-0005-0000-0000-0000D3450000}"/>
    <cellStyle name="Normal 212 4" xfId="17876" xr:uid="{00000000-0005-0000-0000-0000D4450000}"/>
    <cellStyle name="Normal 212 4 2" xfId="17877" xr:uid="{00000000-0005-0000-0000-0000D5450000}"/>
    <cellStyle name="Normal 212 4 2 2" xfId="17878" xr:uid="{00000000-0005-0000-0000-0000D6450000}"/>
    <cellStyle name="Normal 212 4 3" xfId="17879" xr:uid="{00000000-0005-0000-0000-0000D7450000}"/>
    <cellStyle name="Normal 212 5" xfId="17880" xr:uid="{00000000-0005-0000-0000-0000D8450000}"/>
    <cellStyle name="Normal 212 5 2" xfId="17881" xr:uid="{00000000-0005-0000-0000-0000D9450000}"/>
    <cellStyle name="Normal 212 5 2 2" xfId="17882" xr:uid="{00000000-0005-0000-0000-0000DA450000}"/>
    <cellStyle name="Normal 212 5 3" xfId="17883" xr:uid="{00000000-0005-0000-0000-0000DB450000}"/>
    <cellStyle name="Normal 212 6" xfId="17884" xr:uid="{00000000-0005-0000-0000-0000DC450000}"/>
    <cellStyle name="Normal 212 6 2" xfId="17885" xr:uid="{00000000-0005-0000-0000-0000DD450000}"/>
    <cellStyle name="Normal 212 6 2 2" xfId="17886" xr:uid="{00000000-0005-0000-0000-0000DE450000}"/>
    <cellStyle name="Normal 212 6 3" xfId="17887" xr:uid="{00000000-0005-0000-0000-0000DF450000}"/>
    <cellStyle name="Normal 212 7" xfId="17888" xr:uid="{00000000-0005-0000-0000-0000E0450000}"/>
    <cellStyle name="Normal 213" xfId="17889" xr:uid="{00000000-0005-0000-0000-0000E1450000}"/>
    <cellStyle name="Normal 213 2" xfId="17890" xr:uid="{00000000-0005-0000-0000-0000E2450000}"/>
    <cellStyle name="Normal 213 2 2" xfId="17891" xr:uid="{00000000-0005-0000-0000-0000E3450000}"/>
    <cellStyle name="Normal 213 2 2 2" xfId="17892" xr:uid="{00000000-0005-0000-0000-0000E4450000}"/>
    <cellStyle name="Normal 213 2 3" xfId="17893" xr:uid="{00000000-0005-0000-0000-0000E5450000}"/>
    <cellStyle name="Normal 213 2 3 2" xfId="17894" xr:uid="{00000000-0005-0000-0000-0000E6450000}"/>
    <cellStyle name="Normal 213 2 3 2 2" xfId="17895" xr:uid="{00000000-0005-0000-0000-0000E7450000}"/>
    <cellStyle name="Normal 213 2 3 3" xfId="17896" xr:uid="{00000000-0005-0000-0000-0000E8450000}"/>
    <cellStyle name="Normal 213 2 4" xfId="17897" xr:uid="{00000000-0005-0000-0000-0000E9450000}"/>
    <cellStyle name="Normal 213 2 4 2" xfId="17898" xr:uid="{00000000-0005-0000-0000-0000EA450000}"/>
    <cellStyle name="Normal 213 2 4 2 2" xfId="17899" xr:uid="{00000000-0005-0000-0000-0000EB450000}"/>
    <cellStyle name="Normal 213 2 4 3" xfId="17900" xr:uid="{00000000-0005-0000-0000-0000EC450000}"/>
    <cellStyle name="Normal 213 2 5" xfId="17901" xr:uid="{00000000-0005-0000-0000-0000ED450000}"/>
    <cellStyle name="Normal 213 3" xfId="17902" xr:uid="{00000000-0005-0000-0000-0000EE450000}"/>
    <cellStyle name="Normal 213 3 2" xfId="17903" xr:uid="{00000000-0005-0000-0000-0000EF450000}"/>
    <cellStyle name="Normal 213 3 2 2" xfId="17904" xr:uid="{00000000-0005-0000-0000-0000F0450000}"/>
    <cellStyle name="Normal 213 3 2 2 2" xfId="17905" xr:uid="{00000000-0005-0000-0000-0000F1450000}"/>
    <cellStyle name="Normal 213 3 2 3" xfId="17906" xr:uid="{00000000-0005-0000-0000-0000F2450000}"/>
    <cellStyle name="Normal 213 3 2 3 2" xfId="17907" xr:uid="{00000000-0005-0000-0000-0000F3450000}"/>
    <cellStyle name="Normal 213 3 2 3 2 2" xfId="17908" xr:uid="{00000000-0005-0000-0000-0000F4450000}"/>
    <cellStyle name="Normal 213 3 2 3 3" xfId="17909" xr:uid="{00000000-0005-0000-0000-0000F5450000}"/>
    <cellStyle name="Normal 213 3 2 4" xfId="17910" xr:uid="{00000000-0005-0000-0000-0000F6450000}"/>
    <cellStyle name="Normal 213 3 3" xfId="17911" xr:uid="{00000000-0005-0000-0000-0000F7450000}"/>
    <cellStyle name="Normal 213 3 3 2" xfId="17912" xr:uid="{00000000-0005-0000-0000-0000F8450000}"/>
    <cellStyle name="Normal 213 3 3 2 2" xfId="17913" xr:uid="{00000000-0005-0000-0000-0000F9450000}"/>
    <cellStyle name="Normal 213 3 3 3" xfId="17914" xr:uid="{00000000-0005-0000-0000-0000FA450000}"/>
    <cellStyle name="Normal 213 3 4" xfId="17915" xr:uid="{00000000-0005-0000-0000-0000FB450000}"/>
    <cellStyle name="Normal 213 3 4 2" xfId="17916" xr:uid="{00000000-0005-0000-0000-0000FC450000}"/>
    <cellStyle name="Normal 213 3 4 2 2" xfId="17917" xr:uid="{00000000-0005-0000-0000-0000FD450000}"/>
    <cellStyle name="Normal 213 3 4 3" xfId="17918" xr:uid="{00000000-0005-0000-0000-0000FE450000}"/>
    <cellStyle name="Normal 213 3 5" xfId="17919" xr:uid="{00000000-0005-0000-0000-0000FF450000}"/>
    <cellStyle name="Normal 213 3 5 2" xfId="17920" xr:uid="{00000000-0005-0000-0000-000000460000}"/>
    <cellStyle name="Normal 213 3 5 2 2" xfId="17921" xr:uid="{00000000-0005-0000-0000-000001460000}"/>
    <cellStyle name="Normal 213 3 5 3" xfId="17922" xr:uid="{00000000-0005-0000-0000-000002460000}"/>
    <cellStyle name="Normal 213 3 6" xfId="17923" xr:uid="{00000000-0005-0000-0000-000003460000}"/>
    <cellStyle name="Normal 213 4" xfId="17924" xr:uid="{00000000-0005-0000-0000-000004460000}"/>
    <cellStyle name="Normal 213 4 2" xfId="17925" xr:uid="{00000000-0005-0000-0000-000005460000}"/>
    <cellStyle name="Normal 213 4 2 2" xfId="17926" xr:uid="{00000000-0005-0000-0000-000006460000}"/>
    <cellStyle name="Normal 213 4 3" xfId="17927" xr:uid="{00000000-0005-0000-0000-000007460000}"/>
    <cellStyle name="Normal 213 5" xfId="17928" xr:uid="{00000000-0005-0000-0000-000008460000}"/>
    <cellStyle name="Normal 213 5 2" xfId="17929" xr:uid="{00000000-0005-0000-0000-000009460000}"/>
    <cellStyle name="Normal 213 5 2 2" xfId="17930" xr:uid="{00000000-0005-0000-0000-00000A460000}"/>
    <cellStyle name="Normal 213 5 3" xfId="17931" xr:uid="{00000000-0005-0000-0000-00000B460000}"/>
    <cellStyle name="Normal 213 6" xfId="17932" xr:uid="{00000000-0005-0000-0000-00000C460000}"/>
    <cellStyle name="Normal 213 6 2" xfId="17933" xr:uid="{00000000-0005-0000-0000-00000D460000}"/>
    <cellStyle name="Normal 213 6 2 2" xfId="17934" xr:uid="{00000000-0005-0000-0000-00000E460000}"/>
    <cellStyle name="Normal 213 6 3" xfId="17935" xr:uid="{00000000-0005-0000-0000-00000F460000}"/>
    <cellStyle name="Normal 213 7" xfId="17936" xr:uid="{00000000-0005-0000-0000-000010460000}"/>
    <cellStyle name="Normal 214" xfId="17937" xr:uid="{00000000-0005-0000-0000-000011460000}"/>
    <cellStyle name="Normal 214 2" xfId="17938" xr:uid="{00000000-0005-0000-0000-000012460000}"/>
    <cellStyle name="Normal 214 2 2" xfId="17939" xr:uid="{00000000-0005-0000-0000-000013460000}"/>
    <cellStyle name="Normal 214 2 2 2" xfId="17940" xr:uid="{00000000-0005-0000-0000-000014460000}"/>
    <cellStyle name="Normal 214 2 3" xfId="17941" xr:uid="{00000000-0005-0000-0000-000015460000}"/>
    <cellStyle name="Normal 214 2 3 2" xfId="17942" xr:uid="{00000000-0005-0000-0000-000016460000}"/>
    <cellStyle name="Normal 214 2 3 2 2" xfId="17943" xr:uid="{00000000-0005-0000-0000-000017460000}"/>
    <cellStyle name="Normal 214 2 3 3" xfId="17944" xr:uid="{00000000-0005-0000-0000-000018460000}"/>
    <cellStyle name="Normal 214 2 4" xfId="17945" xr:uid="{00000000-0005-0000-0000-000019460000}"/>
    <cellStyle name="Normal 214 2 4 2" xfId="17946" xr:uid="{00000000-0005-0000-0000-00001A460000}"/>
    <cellStyle name="Normal 214 2 4 2 2" xfId="17947" xr:uid="{00000000-0005-0000-0000-00001B460000}"/>
    <cellStyle name="Normal 214 2 4 3" xfId="17948" xr:uid="{00000000-0005-0000-0000-00001C460000}"/>
    <cellStyle name="Normal 214 2 5" xfId="17949" xr:uid="{00000000-0005-0000-0000-00001D460000}"/>
    <cellStyle name="Normal 214 3" xfId="17950" xr:uid="{00000000-0005-0000-0000-00001E460000}"/>
    <cellStyle name="Normal 214 3 2" xfId="17951" xr:uid="{00000000-0005-0000-0000-00001F460000}"/>
    <cellStyle name="Normal 214 3 2 2" xfId="17952" xr:uid="{00000000-0005-0000-0000-000020460000}"/>
    <cellStyle name="Normal 214 3 2 2 2" xfId="17953" xr:uid="{00000000-0005-0000-0000-000021460000}"/>
    <cellStyle name="Normal 214 3 2 3" xfId="17954" xr:uid="{00000000-0005-0000-0000-000022460000}"/>
    <cellStyle name="Normal 214 3 2 3 2" xfId="17955" xr:uid="{00000000-0005-0000-0000-000023460000}"/>
    <cellStyle name="Normal 214 3 2 3 2 2" xfId="17956" xr:uid="{00000000-0005-0000-0000-000024460000}"/>
    <cellStyle name="Normal 214 3 2 3 3" xfId="17957" xr:uid="{00000000-0005-0000-0000-000025460000}"/>
    <cellStyle name="Normal 214 3 2 4" xfId="17958" xr:uid="{00000000-0005-0000-0000-000026460000}"/>
    <cellStyle name="Normal 214 3 3" xfId="17959" xr:uid="{00000000-0005-0000-0000-000027460000}"/>
    <cellStyle name="Normal 214 3 3 2" xfId="17960" xr:uid="{00000000-0005-0000-0000-000028460000}"/>
    <cellStyle name="Normal 214 3 3 2 2" xfId="17961" xr:uid="{00000000-0005-0000-0000-000029460000}"/>
    <cellStyle name="Normal 214 3 3 3" xfId="17962" xr:uid="{00000000-0005-0000-0000-00002A460000}"/>
    <cellStyle name="Normal 214 3 4" xfId="17963" xr:uid="{00000000-0005-0000-0000-00002B460000}"/>
    <cellStyle name="Normal 214 3 4 2" xfId="17964" xr:uid="{00000000-0005-0000-0000-00002C460000}"/>
    <cellStyle name="Normal 214 3 4 2 2" xfId="17965" xr:uid="{00000000-0005-0000-0000-00002D460000}"/>
    <cellStyle name="Normal 214 3 4 3" xfId="17966" xr:uid="{00000000-0005-0000-0000-00002E460000}"/>
    <cellStyle name="Normal 214 3 5" xfId="17967" xr:uid="{00000000-0005-0000-0000-00002F460000}"/>
    <cellStyle name="Normal 214 3 5 2" xfId="17968" xr:uid="{00000000-0005-0000-0000-000030460000}"/>
    <cellStyle name="Normal 214 3 5 2 2" xfId="17969" xr:uid="{00000000-0005-0000-0000-000031460000}"/>
    <cellStyle name="Normal 214 3 5 3" xfId="17970" xr:uid="{00000000-0005-0000-0000-000032460000}"/>
    <cellStyle name="Normal 214 3 6" xfId="17971" xr:uid="{00000000-0005-0000-0000-000033460000}"/>
    <cellStyle name="Normal 214 4" xfId="17972" xr:uid="{00000000-0005-0000-0000-000034460000}"/>
    <cellStyle name="Normal 214 4 2" xfId="17973" xr:uid="{00000000-0005-0000-0000-000035460000}"/>
    <cellStyle name="Normal 214 4 2 2" xfId="17974" xr:uid="{00000000-0005-0000-0000-000036460000}"/>
    <cellStyle name="Normal 214 4 3" xfId="17975" xr:uid="{00000000-0005-0000-0000-000037460000}"/>
    <cellStyle name="Normal 214 5" xfId="17976" xr:uid="{00000000-0005-0000-0000-000038460000}"/>
    <cellStyle name="Normal 214 5 2" xfId="17977" xr:uid="{00000000-0005-0000-0000-000039460000}"/>
    <cellStyle name="Normal 214 5 2 2" xfId="17978" xr:uid="{00000000-0005-0000-0000-00003A460000}"/>
    <cellStyle name="Normal 214 5 3" xfId="17979" xr:uid="{00000000-0005-0000-0000-00003B460000}"/>
    <cellStyle name="Normal 214 6" xfId="17980" xr:uid="{00000000-0005-0000-0000-00003C460000}"/>
    <cellStyle name="Normal 214 6 2" xfId="17981" xr:uid="{00000000-0005-0000-0000-00003D460000}"/>
    <cellStyle name="Normal 214 6 2 2" xfId="17982" xr:uid="{00000000-0005-0000-0000-00003E460000}"/>
    <cellStyle name="Normal 214 6 3" xfId="17983" xr:uid="{00000000-0005-0000-0000-00003F460000}"/>
    <cellStyle name="Normal 214 7" xfId="17984" xr:uid="{00000000-0005-0000-0000-000040460000}"/>
    <cellStyle name="Normal 215" xfId="17985" xr:uid="{00000000-0005-0000-0000-000041460000}"/>
    <cellStyle name="Normal 215 2" xfId="17986" xr:uid="{00000000-0005-0000-0000-000042460000}"/>
    <cellStyle name="Normal 215 2 2" xfId="17987" xr:uid="{00000000-0005-0000-0000-000043460000}"/>
    <cellStyle name="Normal 215 2 2 2" xfId="17988" xr:uid="{00000000-0005-0000-0000-000044460000}"/>
    <cellStyle name="Normal 215 2 3" xfId="17989" xr:uid="{00000000-0005-0000-0000-000045460000}"/>
    <cellStyle name="Normal 215 2 3 2" xfId="17990" xr:uid="{00000000-0005-0000-0000-000046460000}"/>
    <cellStyle name="Normal 215 2 3 2 2" xfId="17991" xr:uid="{00000000-0005-0000-0000-000047460000}"/>
    <cellStyle name="Normal 215 2 3 3" xfId="17992" xr:uid="{00000000-0005-0000-0000-000048460000}"/>
    <cellStyle name="Normal 215 2 4" xfId="17993" xr:uid="{00000000-0005-0000-0000-000049460000}"/>
    <cellStyle name="Normal 215 2 4 2" xfId="17994" xr:uid="{00000000-0005-0000-0000-00004A460000}"/>
    <cellStyle name="Normal 215 2 4 2 2" xfId="17995" xr:uid="{00000000-0005-0000-0000-00004B460000}"/>
    <cellStyle name="Normal 215 2 4 3" xfId="17996" xr:uid="{00000000-0005-0000-0000-00004C460000}"/>
    <cellStyle name="Normal 215 2 5" xfId="17997" xr:uid="{00000000-0005-0000-0000-00004D460000}"/>
    <cellStyle name="Normal 215 3" xfId="17998" xr:uid="{00000000-0005-0000-0000-00004E460000}"/>
    <cellStyle name="Normal 215 3 2" xfId="17999" xr:uid="{00000000-0005-0000-0000-00004F460000}"/>
    <cellStyle name="Normal 215 3 2 2" xfId="18000" xr:uid="{00000000-0005-0000-0000-000050460000}"/>
    <cellStyle name="Normal 215 3 2 2 2" xfId="18001" xr:uid="{00000000-0005-0000-0000-000051460000}"/>
    <cellStyle name="Normal 215 3 2 3" xfId="18002" xr:uid="{00000000-0005-0000-0000-000052460000}"/>
    <cellStyle name="Normal 215 3 2 3 2" xfId="18003" xr:uid="{00000000-0005-0000-0000-000053460000}"/>
    <cellStyle name="Normal 215 3 2 3 2 2" xfId="18004" xr:uid="{00000000-0005-0000-0000-000054460000}"/>
    <cellStyle name="Normal 215 3 2 3 3" xfId="18005" xr:uid="{00000000-0005-0000-0000-000055460000}"/>
    <cellStyle name="Normal 215 3 2 4" xfId="18006" xr:uid="{00000000-0005-0000-0000-000056460000}"/>
    <cellStyle name="Normal 215 3 3" xfId="18007" xr:uid="{00000000-0005-0000-0000-000057460000}"/>
    <cellStyle name="Normal 215 3 3 2" xfId="18008" xr:uid="{00000000-0005-0000-0000-000058460000}"/>
    <cellStyle name="Normal 215 3 3 2 2" xfId="18009" xr:uid="{00000000-0005-0000-0000-000059460000}"/>
    <cellStyle name="Normal 215 3 3 3" xfId="18010" xr:uid="{00000000-0005-0000-0000-00005A460000}"/>
    <cellStyle name="Normal 215 3 4" xfId="18011" xr:uid="{00000000-0005-0000-0000-00005B460000}"/>
    <cellStyle name="Normal 215 3 4 2" xfId="18012" xr:uid="{00000000-0005-0000-0000-00005C460000}"/>
    <cellStyle name="Normal 215 3 4 2 2" xfId="18013" xr:uid="{00000000-0005-0000-0000-00005D460000}"/>
    <cellStyle name="Normal 215 3 4 3" xfId="18014" xr:uid="{00000000-0005-0000-0000-00005E460000}"/>
    <cellStyle name="Normal 215 3 5" xfId="18015" xr:uid="{00000000-0005-0000-0000-00005F460000}"/>
    <cellStyle name="Normal 215 3 5 2" xfId="18016" xr:uid="{00000000-0005-0000-0000-000060460000}"/>
    <cellStyle name="Normal 215 3 5 2 2" xfId="18017" xr:uid="{00000000-0005-0000-0000-000061460000}"/>
    <cellStyle name="Normal 215 3 5 3" xfId="18018" xr:uid="{00000000-0005-0000-0000-000062460000}"/>
    <cellStyle name="Normal 215 3 6" xfId="18019" xr:uid="{00000000-0005-0000-0000-000063460000}"/>
    <cellStyle name="Normal 215 4" xfId="18020" xr:uid="{00000000-0005-0000-0000-000064460000}"/>
    <cellStyle name="Normal 215 4 2" xfId="18021" xr:uid="{00000000-0005-0000-0000-000065460000}"/>
    <cellStyle name="Normal 215 4 2 2" xfId="18022" xr:uid="{00000000-0005-0000-0000-000066460000}"/>
    <cellStyle name="Normal 215 4 3" xfId="18023" xr:uid="{00000000-0005-0000-0000-000067460000}"/>
    <cellStyle name="Normal 215 5" xfId="18024" xr:uid="{00000000-0005-0000-0000-000068460000}"/>
    <cellStyle name="Normal 215 5 2" xfId="18025" xr:uid="{00000000-0005-0000-0000-000069460000}"/>
    <cellStyle name="Normal 215 5 2 2" xfId="18026" xr:uid="{00000000-0005-0000-0000-00006A460000}"/>
    <cellStyle name="Normal 215 5 3" xfId="18027" xr:uid="{00000000-0005-0000-0000-00006B460000}"/>
    <cellStyle name="Normal 215 6" xfId="18028" xr:uid="{00000000-0005-0000-0000-00006C460000}"/>
    <cellStyle name="Normal 215 6 2" xfId="18029" xr:uid="{00000000-0005-0000-0000-00006D460000}"/>
    <cellStyle name="Normal 215 6 2 2" xfId="18030" xr:uid="{00000000-0005-0000-0000-00006E460000}"/>
    <cellStyle name="Normal 215 6 3" xfId="18031" xr:uid="{00000000-0005-0000-0000-00006F460000}"/>
    <cellStyle name="Normal 215 7" xfId="18032" xr:uid="{00000000-0005-0000-0000-000070460000}"/>
    <cellStyle name="Normal 216" xfId="18033" xr:uid="{00000000-0005-0000-0000-000071460000}"/>
    <cellStyle name="Normal 216 2" xfId="18034" xr:uid="{00000000-0005-0000-0000-000072460000}"/>
    <cellStyle name="Normal 216 2 2" xfId="18035" xr:uid="{00000000-0005-0000-0000-000073460000}"/>
    <cellStyle name="Normal 216 2 2 2" xfId="18036" xr:uid="{00000000-0005-0000-0000-000074460000}"/>
    <cellStyle name="Normal 216 2 3" xfId="18037" xr:uid="{00000000-0005-0000-0000-000075460000}"/>
    <cellStyle name="Normal 216 2 3 2" xfId="18038" xr:uid="{00000000-0005-0000-0000-000076460000}"/>
    <cellStyle name="Normal 216 2 3 2 2" xfId="18039" xr:uid="{00000000-0005-0000-0000-000077460000}"/>
    <cellStyle name="Normal 216 2 3 3" xfId="18040" xr:uid="{00000000-0005-0000-0000-000078460000}"/>
    <cellStyle name="Normal 216 2 4" xfId="18041" xr:uid="{00000000-0005-0000-0000-000079460000}"/>
    <cellStyle name="Normal 216 2 4 2" xfId="18042" xr:uid="{00000000-0005-0000-0000-00007A460000}"/>
    <cellStyle name="Normal 216 2 4 2 2" xfId="18043" xr:uid="{00000000-0005-0000-0000-00007B460000}"/>
    <cellStyle name="Normal 216 2 4 3" xfId="18044" xr:uid="{00000000-0005-0000-0000-00007C460000}"/>
    <cellStyle name="Normal 216 2 5" xfId="18045" xr:uid="{00000000-0005-0000-0000-00007D460000}"/>
    <cellStyle name="Normal 216 3" xfId="18046" xr:uid="{00000000-0005-0000-0000-00007E460000}"/>
    <cellStyle name="Normal 216 3 2" xfId="18047" xr:uid="{00000000-0005-0000-0000-00007F460000}"/>
    <cellStyle name="Normal 216 3 2 2" xfId="18048" xr:uid="{00000000-0005-0000-0000-000080460000}"/>
    <cellStyle name="Normal 216 3 2 2 2" xfId="18049" xr:uid="{00000000-0005-0000-0000-000081460000}"/>
    <cellStyle name="Normal 216 3 2 3" xfId="18050" xr:uid="{00000000-0005-0000-0000-000082460000}"/>
    <cellStyle name="Normal 216 3 2 3 2" xfId="18051" xr:uid="{00000000-0005-0000-0000-000083460000}"/>
    <cellStyle name="Normal 216 3 2 3 2 2" xfId="18052" xr:uid="{00000000-0005-0000-0000-000084460000}"/>
    <cellStyle name="Normal 216 3 2 3 3" xfId="18053" xr:uid="{00000000-0005-0000-0000-000085460000}"/>
    <cellStyle name="Normal 216 3 2 4" xfId="18054" xr:uid="{00000000-0005-0000-0000-000086460000}"/>
    <cellStyle name="Normal 216 3 3" xfId="18055" xr:uid="{00000000-0005-0000-0000-000087460000}"/>
    <cellStyle name="Normal 216 3 3 2" xfId="18056" xr:uid="{00000000-0005-0000-0000-000088460000}"/>
    <cellStyle name="Normal 216 3 3 2 2" xfId="18057" xr:uid="{00000000-0005-0000-0000-000089460000}"/>
    <cellStyle name="Normal 216 3 3 3" xfId="18058" xr:uid="{00000000-0005-0000-0000-00008A460000}"/>
    <cellStyle name="Normal 216 3 4" xfId="18059" xr:uid="{00000000-0005-0000-0000-00008B460000}"/>
    <cellStyle name="Normal 216 3 4 2" xfId="18060" xr:uid="{00000000-0005-0000-0000-00008C460000}"/>
    <cellStyle name="Normal 216 3 4 2 2" xfId="18061" xr:uid="{00000000-0005-0000-0000-00008D460000}"/>
    <cellStyle name="Normal 216 3 4 3" xfId="18062" xr:uid="{00000000-0005-0000-0000-00008E460000}"/>
    <cellStyle name="Normal 216 3 5" xfId="18063" xr:uid="{00000000-0005-0000-0000-00008F460000}"/>
    <cellStyle name="Normal 216 3 5 2" xfId="18064" xr:uid="{00000000-0005-0000-0000-000090460000}"/>
    <cellStyle name="Normal 216 3 5 2 2" xfId="18065" xr:uid="{00000000-0005-0000-0000-000091460000}"/>
    <cellStyle name="Normal 216 3 5 3" xfId="18066" xr:uid="{00000000-0005-0000-0000-000092460000}"/>
    <cellStyle name="Normal 216 3 6" xfId="18067" xr:uid="{00000000-0005-0000-0000-000093460000}"/>
    <cellStyle name="Normal 216 4" xfId="18068" xr:uid="{00000000-0005-0000-0000-000094460000}"/>
    <cellStyle name="Normal 216 4 2" xfId="18069" xr:uid="{00000000-0005-0000-0000-000095460000}"/>
    <cellStyle name="Normal 216 4 2 2" xfId="18070" xr:uid="{00000000-0005-0000-0000-000096460000}"/>
    <cellStyle name="Normal 216 4 3" xfId="18071" xr:uid="{00000000-0005-0000-0000-000097460000}"/>
    <cellStyle name="Normal 216 5" xfId="18072" xr:uid="{00000000-0005-0000-0000-000098460000}"/>
    <cellStyle name="Normal 216 5 2" xfId="18073" xr:uid="{00000000-0005-0000-0000-000099460000}"/>
    <cellStyle name="Normal 216 5 2 2" xfId="18074" xr:uid="{00000000-0005-0000-0000-00009A460000}"/>
    <cellStyle name="Normal 216 5 3" xfId="18075" xr:uid="{00000000-0005-0000-0000-00009B460000}"/>
    <cellStyle name="Normal 216 6" xfId="18076" xr:uid="{00000000-0005-0000-0000-00009C460000}"/>
    <cellStyle name="Normal 216 6 2" xfId="18077" xr:uid="{00000000-0005-0000-0000-00009D460000}"/>
    <cellStyle name="Normal 216 6 2 2" xfId="18078" xr:uid="{00000000-0005-0000-0000-00009E460000}"/>
    <cellStyle name="Normal 216 6 3" xfId="18079" xr:uid="{00000000-0005-0000-0000-00009F460000}"/>
    <cellStyle name="Normal 216 7" xfId="18080" xr:uid="{00000000-0005-0000-0000-0000A0460000}"/>
    <cellStyle name="Normal 217" xfId="18081" xr:uid="{00000000-0005-0000-0000-0000A1460000}"/>
    <cellStyle name="Normal 217 2" xfId="18082" xr:uid="{00000000-0005-0000-0000-0000A2460000}"/>
    <cellStyle name="Normal 217 2 2" xfId="18083" xr:uid="{00000000-0005-0000-0000-0000A3460000}"/>
    <cellStyle name="Normal 217 2 2 2" xfId="18084" xr:uid="{00000000-0005-0000-0000-0000A4460000}"/>
    <cellStyle name="Normal 217 2 2 2 2" xfId="18085" xr:uid="{00000000-0005-0000-0000-0000A5460000}"/>
    <cellStyle name="Normal 217 2 2 3" xfId="18086" xr:uid="{00000000-0005-0000-0000-0000A6460000}"/>
    <cellStyle name="Normal 217 2 2 3 2" xfId="18087" xr:uid="{00000000-0005-0000-0000-0000A7460000}"/>
    <cellStyle name="Normal 217 2 2 3 2 2" xfId="18088" xr:uid="{00000000-0005-0000-0000-0000A8460000}"/>
    <cellStyle name="Normal 217 2 2 3 3" xfId="18089" xr:uid="{00000000-0005-0000-0000-0000A9460000}"/>
    <cellStyle name="Normal 217 2 2 4" xfId="18090" xr:uid="{00000000-0005-0000-0000-0000AA460000}"/>
    <cellStyle name="Normal 217 2 2 4 2" xfId="18091" xr:uid="{00000000-0005-0000-0000-0000AB460000}"/>
    <cellStyle name="Normal 217 2 2 4 2 2" xfId="18092" xr:uid="{00000000-0005-0000-0000-0000AC460000}"/>
    <cellStyle name="Normal 217 2 2 4 3" xfId="18093" xr:uid="{00000000-0005-0000-0000-0000AD460000}"/>
    <cellStyle name="Normal 217 2 2 5" xfId="18094" xr:uid="{00000000-0005-0000-0000-0000AE460000}"/>
    <cellStyle name="Normal 217 2 3" xfId="18095" xr:uid="{00000000-0005-0000-0000-0000AF460000}"/>
    <cellStyle name="Normal 217 2 3 2" xfId="18096" xr:uid="{00000000-0005-0000-0000-0000B0460000}"/>
    <cellStyle name="Normal 217 2 3 2 2" xfId="18097" xr:uid="{00000000-0005-0000-0000-0000B1460000}"/>
    <cellStyle name="Normal 217 2 3 2 2 2" xfId="18098" xr:uid="{00000000-0005-0000-0000-0000B2460000}"/>
    <cellStyle name="Normal 217 2 3 2 3" xfId="18099" xr:uid="{00000000-0005-0000-0000-0000B3460000}"/>
    <cellStyle name="Normal 217 2 3 2 3 2" xfId="18100" xr:uid="{00000000-0005-0000-0000-0000B4460000}"/>
    <cellStyle name="Normal 217 2 3 2 3 2 2" xfId="18101" xr:uid="{00000000-0005-0000-0000-0000B5460000}"/>
    <cellStyle name="Normal 217 2 3 2 3 3" xfId="18102" xr:uid="{00000000-0005-0000-0000-0000B6460000}"/>
    <cellStyle name="Normal 217 2 3 2 4" xfId="18103" xr:uid="{00000000-0005-0000-0000-0000B7460000}"/>
    <cellStyle name="Normal 217 2 3 3" xfId="18104" xr:uid="{00000000-0005-0000-0000-0000B8460000}"/>
    <cellStyle name="Normal 217 2 3 3 2" xfId="18105" xr:uid="{00000000-0005-0000-0000-0000B9460000}"/>
    <cellStyle name="Normal 217 2 3 3 2 2" xfId="18106" xr:uid="{00000000-0005-0000-0000-0000BA460000}"/>
    <cellStyle name="Normal 217 2 3 3 3" xfId="18107" xr:uid="{00000000-0005-0000-0000-0000BB460000}"/>
    <cellStyle name="Normal 217 2 3 4" xfId="18108" xr:uid="{00000000-0005-0000-0000-0000BC460000}"/>
    <cellStyle name="Normal 217 2 3 4 2" xfId="18109" xr:uid="{00000000-0005-0000-0000-0000BD460000}"/>
    <cellStyle name="Normal 217 2 3 4 2 2" xfId="18110" xr:uid="{00000000-0005-0000-0000-0000BE460000}"/>
    <cellStyle name="Normal 217 2 3 4 3" xfId="18111" xr:uid="{00000000-0005-0000-0000-0000BF460000}"/>
    <cellStyle name="Normal 217 2 3 5" xfId="18112" xr:uid="{00000000-0005-0000-0000-0000C0460000}"/>
    <cellStyle name="Normal 217 2 3 5 2" xfId="18113" xr:uid="{00000000-0005-0000-0000-0000C1460000}"/>
    <cellStyle name="Normal 217 2 3 5 2 2" xfId="18114" xr:uid="{00000000-0005-0000-0000-0000C2460000}"/>
    <cellStyle name="Normal 217 2 3 5 3" xfId="18115" xr:uid="{00000000-0005-0000-0000-0000C3460000}"/>
    <cellStyle name="Normal 217 2 3 6" xfId="18116" xr:uid="{00000000-0005-0000-0000-0000C4460000}"/>
    <cellStyle name="Normal 217 2 4" xfId="18117" xr:uid="{00000000-0005-0000-0000-0000C5460000}"/>
    <cellStyle name="Normal 217 2 4 2" xfId="18118" xr:uid="{00000000-0005-0000-0000-0000C6460000}"/>
    <cellStyle name="Normal 217 2 4 2 2" xfId="18119" xr:uid="{00000000-0005-0000-0000-0000C7460000}"/>
    <cellStyle name="Normal 217 2 4 3" xfId="18120" xr:uid="{00000000-0005-0000-0000-0000C8460000}"/>
    <cellStyle name="Normal 217 2 5" xfId="18121" xr:uid="{00000000-0005-0000-0000-0000C9460000}"/>
    <cellStyle name="Normal 217 2 5 2" xfId="18122" xr:uid="{00000000-0005-0000-0000-0000CA460000}"/>
    <cellStyle name="Normal 217 2 5 2 2" xfId="18123" xr:uid="{00000000-0005-0000-0000-0000CB460000}"/>
    <cellStyle name="Normal 217 2 5 3" xfId="18124" xr:uid="{00000000-0005-0000-0000-0000CC460000}"/>
    <cellStyle name="Normal 217 2 6" xfId="18125" xr:uid="{00000000-0005-0000-0000-0000CD460000}"/>
    <cellStyle name="Normal 217 2 6 2" xfId="18126" xr:uid="{00000000-0005-0000-0000-0000CE460000}"/>
    <cellStyle name="Normal 217 2 6 2 2" xfId="18127" xr:uid="{00000000-0005-0000-0000-0000CF460000}"/>
    <cellStyle name="Normal 217 2 6 3" xfId="18128" xr:uid="{00000000-0005-0000-0000-0000D0460000}"/>
    <cellStyle name="Normal 217 2 7" xfId="18129" xr:uid="{00000000-0005-0000-0000-0000D1460000}"/>
    <cellStyle name="Normal 217 3" xfId="18130" xr:uid="{00000000-0005-0000-0000-0000D2460000}"/>
    <cellStyle name="Normal 217 3 2" xfId="18131" xr:uid="{00000000-0005-0000-0000-0000D3460000}"/>
    <cellStyle name="Normal 217 3 2 2" xfId="18132" xr:uid="{00000000-0005-0000-0000-0000D4460000}"/>
    <cellStyle name="Normal 217 3 3" xfId="18133" xr:uid="{00000000-0005-0000-0000-0000D5460000}"/>
    <cellStyle name="Normal 217 3 3 2" xfId="18134" xr:uid="{00000000-0005-0000-0000-0000D6460000}"/>
    <cellStyle name="Normal 217 3 3 2 2" xfId="18135" xr:uid="{00000000-0005-0000-0000-0000D7460000}"/>
    <cellStyle name="Normal 217 3 3 3" xfId="18136" xr:uid="{00000000-0005-0000-0000-0000D8460000}"/>
    <cellStyle name="Normal 217 3 4" xfId="18137" xr:uid="{00000000-0005-0000-0000-0000D9460000}"/>
    <cellStyle name="Normal 217 3 4 2" xfId="18138" xr:uid="{00000000-0005-0000-0000-0000DA460000}"/>
    <cellStyle name="Normal 217 3 4 2 2" xfId="18139" xr:uid="{00000000-0005-0000-0000-0000DB460000}"/>
    <cellStyle name="Normal 217 3 4 3" xfId="18140" xr:uid="{00000000-0005-0000-0000-0000DC460000}"/>
    <cellStyle name="Normal 217 3 5" xfId="18141" xr:uid="{00000000-0005-0000-0000-0000DD460000}"/>
    <cellStyle name="Normal 217 4" xfId="18142" xr:uid="{00000000-0005-0000-0000-0000DE460000}"/>
    <cellStyle name="Normal 217 4 2" xfId="18143" xr:uid="{00000000-0005-0000-0000-0000DF460000}"/>
    <cellStyle name="Normal 217 4 2 2" xfId="18144" xr:uid="{00000000-0005-0000-0000-0000E0460000}"/>
    <cellStyle name="Normal 217 4 2 2 2" xfId="18145" xr:uid="{00000000-0005-0000-0000-0000E1460000}"/>
    <cellStyle name="Normal 217 4 2 3" xfId="18146" xr:uid="{00000000-0005-0000-0000-0000E2460000}"/>
    <cellStyle name="Normal 217 4 2 3 2" xfId="18147" xr:uid="{00000000-0005-0000-0000-0000E3460000}"/>
    <cellStyle name="Normal 217 4 2 3 2 2" xfId="18148" xr:uid="{00000000-0005-0000-0000-0000E4460000}"/>
    <cellStyle name="Normal 217 4 2 3 3" xfId="18149" xr:uid="{00000000-0005-0000-0000-0000E5460000}"/>
    <cellStyle name="Normal 217 4 2 4" xfId="18150" xr:uid="{00000000-0005-0000-0000-0000E6460000}"/>
    <cellStyle name="Normal 217 4 3" xfId="18151" xr:uid="{00000000-0005-0000-0000-0000E7460000}"/>
    <cellStyle name="Normal 217 4 3 2" xfId="18152" xr:uid="{00000000-0005-0000-0000-0000E8460000}"/>
    <cellStyle name="Normal 217 4 3 2 2" xfId="18153" xr:uid="{00000000-0005-0000-0000-0000E9460000}"/>
    <cellStyle name="Normal 217 4 3 3" xfId="18154" xr:uid="{00000000-0005-0000-0000-0000EA460000}"/>
    <cellStyle name="Normal 217 4 4" xfId="18155" xr:uid="{00000000-0005-0000-0000-0000EB460000}"/>
    <cellStyle name="Normal 217 4 4 2" xfId="18156" xr:uid="{00000000-0005-0000-0000-0000EC460000}"/>
    <cellStyle name="Normal 217 4 4 2 2" xfId="18157" xr:uid="{00000000-0005-0000-0000-0000ED460000}"/>
    <cellStyle name="Normal 217 4 4 3" xfId="18158" xr:uid="{00000000-0005-0000-0000-0000EE460000}"/>
    <cellStyle name="Normal 217 4 5" xfId="18159" xr:uid="{00000000-0005-0000-0000-0000EF460000}"/>
    <cellStyle name="Normal 217 4 5 2" xfId="18160" xr:uid="{00000000-0005-0000-0000-0000F0460000}"/>
    <cellStyle name="Normal 217 4 5 2 2" xfId="18161" xr:uid="{00000000-0005-0000-0000-0000F1460000}"/>
    <cellStyle name="Normal 217 4 5 3" xfId="18162" xr:uid="{00000000-0005-0000-0000-0000F2460000}"/>
    <cellStyle name="Normal 217 4 6" xfId="18163" xr:uid="{00000000-0005-0000-0000-0000F3460000}"/>
    <cellStyle name="Normal 217 5" xfId="18164" xr:uid="{00000000-0005-0000-0000-0000F4460000}"/>
    <cellStyle name="Normal 217 5 2" xfId="18165" xr:uid="{00000000-0005-0000-0000-0000F5460000}"/>
    <cellStyle name="Normal 217 5 2 2" xfId="18166" xr:uid="{00000000-0005-0000-0000-0000F6460000}"/>
    <cellStyle name="Normal 217 5 3" xfId="18167" xr:uid="{00000000-0005-0000-0000-0000F7460000}"/>
    <cellStyle name="Normal 217 6" xfId="18168" xr:uid="{00000000-0005-0000-0000-0000F8460000}"/>
    <cellStyle name="Normal 217 6 2" xfId="18169" xr:uid="{00000000-0005-0000-0000-0000F9460000}"/>
    <cellStyle name="Normal 217 6 2 2" xfId="18170" xr:uid="{00000000-0005-0000-0000-0000FA460000}"/>
    <cellStyle name="Normal 217 6 3" xfId="18171" xr:uid="{00000000-0005-0000-0000-0000FB460000}"/>
    <cellStyle name="Normal 217 7" xfId="18172" xr:uid="{00000000-0005-0000-0000-0000FC460000}"/>
    <cellStyle name="Normal 217 7 2" xfId="18173" xr:uid="{00000000-0005-0000-0000-0000FD460000}"/>
    <cellStyle name="Normal 217 7 2 2" xfId="18174" xr:uid="{00000000-0005-0000-0000-0000FE460000}"/>
    <cellStyle name="Normal 217 7 3" xfId="18175" xr:uid="{00000000-0005-0000-0000-0000FF460000}"/>
    <cellStyle name="Normal 217 8" xfId="18176" xr:uid="{00000000-0005-0000-0000-000000470000}"/>
    <cellStyle name="Normal 218" xfId="18177" xr:uid="{00000000-0005-0000-0000-000001470000}"/>
    <cellStyle name="Normal 218 2" xfId="18178" xr:uid="{00000000-0005-0000-0000-000002470000}"/>
    <cellStyle name="Normal 218 2 2" xfId="18179" xr:uid="{00000000-0005-0000-0000-000003470000}"/>
    <cellStyle name="Normal 218 2 2 2" xfId="18180" xr:uid="{00000000-0005-0000-0000-000004470000}"/>
    <cellStyle name="Normal 218 2 2 2 2" xfId="18181" xr:uid="{00000000-0005-0000-0000-000005470000}"/>
    <cellStyle name="Normal 218 2 2 3" xfId="18182" xr:uid="{00000000-0005-0000-0000-000006470000}"/>
    <cellStyle name="Normal 218 2 2 3 2" xfId="18183" xr:uid="{00000000-0005-0000-0000-000007470000}"/>
    <cellStyle name="Normal 218 2 2 3 2 2" xfId="18184" xr:uid="{00000000-0005-0000-0000-000008470000}"/>
    <cellStyle name="Normal 218 2 2 3 3" xfId="18185" xr:uid="{00000000-0005-0000-0000-000009470000}"/>
    <cellStyle name="Normal 218 2 2 4" xfId="18186" xr:uid="{00000000-0005-0000-0000-00000A470000}"/>
    <cellStyle name="Normal 218 2 2 4 2" xfId="18187" xr:uid="{00000000-0005-0000-0000-00000B470000}"/>
    <cellStyle name="Normal 218 2 2 4 2 2" xfId="18188" xr:uid="{00000000-0005-0000-0000-00000C470000}"/>
    <cellStyle name="Normal 218 2 2 4 3" xfId="18189" xr:uid="{00000000-0005-0000-0000-00000D470000}"/>
    <cellStyle name="Normal 218 2 2 5" xfId="18190" xr:uid="{00000000-0005-0000-0000-00000E470000}"/>
    <cellStyle name="Normal 218 2 3" xfId="18191" xr:uid="{00000000-0005-0000-0000-00000F470000}"/>
    <cellStyle name="Normal 218 2 3 2" xfId="18192" xr:uid="{00000000-0005-0000-0000-000010470000}"/>
    <cellStyle name="Normal 218 2 3 2 2" xfId="18193" xr:uid="{00000000-0005-0000-0000-000011470000}"/>
    <cellStyle name="Normal 218 2 3 2 2 2" xfId="18194" xr:uid="{00000000-0005-0000-0000-000012470000}"/>
    <cellStyle name="Normal 218 2 3 2 3" xfId="18195" xr:uid="{00000000-0005-0000-0000-000013470000}"/>
    <cellStyle name="Normal 218 2 3 2 3 2" xfId="18196" xr:uid="{00000000-0005-0000-0000-000014470000}"/>
    <cellStyle name="Normal 218 2 3 2 3 2 2" xfId="18197" xr:uid="{00000000-0005-0000-0000-000015470000}"/>
    <cellStyle name="Normal 218 2 3 2 3 3" xfId="18198" xr:uid="{00000000-0005-0000-0000-000016470000}"/>
    <cellStyle name="Normal 218 2 3 2 4" xfId="18199" xr:uid="{00000000-0005-0000-0000-000017470000}"/>
    <cellStyle name="Normal 218 2 3 3" xfId="18200" xr:uid="{00000000-0005-0000-0000-000018470000}"/>
    <cellStyle name="Normal 218 2 3 3 2" xfId="18201" xr:uid="{00000000-0005-0000-0000-000019470000}"/>
    <cellStyle name="Normal 218 2 3 3 2 2" xfId="18202" xr:uid="{00000000-0005-0000-0000-00001A470000}"/>
    <cellStyle name="Normal 218 2 3 3 3" xfId="18203" xr:uid="{00000000-0005-0000-0000-00001B470000}"/>
    <cellStyle name="Normal 218 2 3 4" xfId="18204" xr:uid="{00000000-0005-0000-0000-00001C470000}"/>
    <cellStyle name="Normal 218 2 3 4 2" xfId="18205" xr:uid="{00000000-0005-0000-0000-00001D470000}"/>
    <cellStyle name="Normal 218 2 3 4 2 2" xfId="18206" xr:uid="{00000000-0005-0000-0000-00001E470000}"/>
    <cellStyle name="Normal 218 2 3 4 3" xfId="18207" xr:uid="{00000000-0005-0000-0000-00001F470000}"/>
    <cellStyle name="Normal 218 2 3 5" xfId="18208" xr:uid="{00000000-0005-0000-0000-000020470000}"/>
    <cellStyle name="Normal 218 2 3 5 2" xfId="18209" xr:uid="{00000000-0005-0000-0000-000021470000}"/>
    <cellStyle name="Normal 218 2 3 5 2 2" xfId="18210" xr:uid="{00000000-0005-0000-0000-000022470000}"/>
    <cellStyle name="Normal 218 2 3 5 3" xfId="18211" xr:uid="{00000000-0005-0000-0000-000023470000}"/>
    <cellStyle name="Normal 218 2 3 6" xfId="18212" xr:uid="{00000000-0005-0000-0000-000024470000}"/>
    <cellStyle name="Normal 218 2 4" xfId="18213" xr:uid="{00000000-0005-0000-0000-000025470000}"/>
    <cellStyle name="Normal 218 2 4 2" xfId="18214" xr:uid="{00000000-0005-0000-0000-000026470000}"/>
    <cellStyle name="Normal 218 2 4 2 2" xfId="18215" xr:uid="{00000000-0005-0000-0000-000027470000}"/>
    <cellStyle name="Normal 218 2 4 3" xfId="18216" xr:uid="{00000000-0005-0000-0000-000028470000}"/>
    <cellStyle name="Normal 218 2 5" xfId="18217" xr:uid="{00000000-0005-0000-0000-000029470000}"/>
    <cellStyle name="Normal 218 2 5 2" xfId="18218" xr:uid="{00000000-0005-0000-0000-00002A470000}"/>
    <cellStyle name="Normal 218 2 5 2 2" xfId="18219" xr:uid="{00000000-0005-0000-0000-00002B470000}"/>
    <cellStyle name="Normal 218 2 5 3" xfId="18220" xr:uid="{00000000-0005-0000-0000-00002C470000}"/>
    <cellStyle name="Normal 218 2 6" xfId="18221" xr:uid="{00000000-0005-0000-0000-00002D470000}"/>
    <cellStyle name="Normal 218 2 6 2" xfId="18222" xr:uid="{00000000-0005-0000-0000-00002E470000}"/>
    <cellStyle name="Normal 218 2 6 2 2" xfId="18223" xr:uid="{00000000-0005-0000-0000-00002F470000}"/>
    <cellStyle name="Normal 218 2 6 3" xfId="18224" xr:uid="{00000000-0005-0000-0000-000030470000}"/>
    <cellStyle name="Normal 218 2 7" xfId="18225" xr:uid="{00000000-0005-0000-0000-000031470000}"/>
    <cellStyle name="Normal 218 3" xfId="18226" xr:uid="{00000000-0005-0000-0000-000032470000}"/>
    <cellStyle name="Normal 218 3 2" xfId="18227" xr:uid="{00000000-0005-0000-0000-000033470000}"/>
    <cellStyle name="Normal 218 3 2 2" xfId="18228" xr:uid="{00000000-0005-0000-0000-000034470000}"/>
    <cellStyle name="Normal 218 3 3" xfId="18229" xr:uid="{00000000-0005-0000-0000-000035470000}"/>
    <cellStyle name="Normal 218 3 3 2" xfId="18230" xr:uid="{00000000-0005-0000-0000-000036470000}"/>
    <cellStyle name="Normal 218 3 3 2 2" xfId="18231" xr:uid="{00000000-0005-0000-0000-000037470000}"/>
    <cellStyle name="Normal 218 3 3 3" xfId="18232" xr:uid="{00000000-0005-0000-0000-000038470000}"/>
    <cellStyle name="Normal 218 3 4" xfId="18233" xr:uid="{00000000-0005-0000-0000-000039470000}"/>
    <cellStyle name="Normal 218 3 4 2" xfId="18234" xr:uid="{00000000-0005-0000-0000-00003A470000}"/>
    <cellStyle name="Normal 218 3 4 2 2" xfId="18235" xr:uid="{00000000-0005-0000-0000-00003B470000}"/>
    <cellStyle name="Normal 218 3 4 3" xfId="18236" xr:uid="{00000000-0005-0000-0000-00003C470000}"/>
    <cellStyle name="Normal 218 3 5" xfId="18237" xr:uid="{00000000-0005-0000-0000-00003D470000}"/>
    <cellStyle name="Normal 218 4" xfId="18238" xr:uid="{00000000-0005-0000-0000-00003E470000}"/>
    <cellStyle name="Normal 218 4 2" xfId="18239" xr:uid="{00000000-0005-0000-0000-00003F470000}"/>
    <cellStyle name="Normal 218 4 2 2" xfId="18240" xr:uid="{00000000-0005-0000-0000-000040470000}"/>
    <cellStyle name="Normal 218 4 2 2 2" xfId="18241" xr:uid="{00000000-0005-0000-0000-000041470000}"/>
    <cellStyle name="Normal 218 4 2 3" xfId="18242" xr:uid="{00000000-0005-0000-0000-000042470000}"/>
    <cellStyle name="Normal 218 4 2 3 2" xfId="18243" xr:uid="{00000000-0005-0000-0000-000043470000}"/>
    <cellStyle name="Normal 218 4 2 3 2 2" xfId="18244" xr:uid="{00000000-0005-0000-0000-000044470000}"/>
    <cellStyle name="Normal 218 4 2 3 3" xfId="18245" xr:uid="{00000000-0005-0000-0000-000045470000}"/>
    <cellStyle name="Normal 218 4 2 4" xfId="18246" xr:uid="{00000000-0005-0000-0000-000046470000}"/>
    <cellStyle name="Normal 218 4 3" xfId="18247" xr:uid="{00000000-0005-0000-0000-000047470000}"/>
    <cellStyle name="Normal 218 4 3 2" xfId="18248" xr:uid="{00000000-0005-0000-0000-000048470000}"/>
    <cellStyle name="Normal 218 4 3 2 2" xfId="18249" xr:uid="{00000000-0005-0000-0000-000049470000}"/>
    <cellStyle name="Normal 218 4 3 3" xfId="18250" xr:uid="{00000000-0005-0000-0000-00004A470000}"/>
    <cellStyle name="Normal 218 4 4" xfId="18251" xr:uid="{00000000-0005-0000-0000-00004B470000}"/>
    <cellStyle name="Normal 218 4 4 2" xfId="18252" xr:uid="{00000000-0005-0000-0000-00004C470000}"/>
    <cellStyle name="Normal 218 4 4 2 2" xfId="18253" xr:uid="{00000000-0005-0000-0000-00004D470000}"/>
    <cellStyle name="Normal 218 4 4 3" xfId="18254" xr:uid="{00000000-0005-0000-0000-00004E470000}"/>
    <cellStyle name="Normal 218 4 5" xfId="18255" xr:uid="{00000000-0005-0000-0000-00004F470000}"/>
    <cellStyle name="Normal 218 4 5 2" xfId="18256" xr:uid="{00000000-0005-0000-0000-000050470000}"/>
    <cellStyle name="Normal 218 4 5 2 2" xfId="18257" xr:uid="{00000000-0005-0000-0000-000051470000}"/>
    <cellStyle name="Normal 218 4 5 3" xfId="18258" xr:uid="{00000000-0005-0000-0000-000052470000}"/>
    <cellStyle name="Normal 218 4 6" xfId="18259" xr:uid="{00000000-0005-0000-0000-000053470000}"/>
    <cellStyle name="Normal 218 5" xfId="18260" xr:uid="{00000000-0005-0000-0000-000054470000}"/>
    <cellStyle name="Normal 218 5 2" xfId="18261" xr:uid="{00000000-0005-0000-0000-000055470000}"/>
    <cellStyle name="Normal 218 5 2 2" xfId="18262" xr:uid="{00000000-0005-0000-0000-000056470000}"/>
    <cellStyle name="Normal 218 5 3" xfId="18263" xr:uid="{00000000-0005-0000-0000-000057470000}"/>
    <cellStyle name="Normal 218 6" xfId="18264" xr:uid="{00000000-0005-0000-0000-000058470000}"/>
    <cellStyle name="Normal 218 6 2" xfId="18265" xr:uid="{00000000-0005-0000-0000-000059470000}"/>
    <cellStyle name="Normal 218 6 2 2" xfId="18266" xr:uid="{00000000-0005-0000-0000-00005A470000}"/>
    <cellStyle name="Normal 218 6 3" xfId="18267" xr:uid="{00000000-0005-0000-0000-00005B470000}"/>
    <cellStyle name="Normal 218 7" xfId="18268" xr:uid="{00000000-0005-0000-0000-00005C470000}"/>
    <cellStyle name="Normal 218 7 2" xfId="18269" xr:uid="{00000000-0005-0000-0000-00005D470000}"/>
    <cellStyle name="Normal 218 7 2 2" xfId="18270" xr:uid="{00000000-0005-0000-0000-00005E470000}"/>
    <cellStyle name="Normal 218 7 3" xfId="18271" xr:uid="{00000000-0005-0000-0000-00005F470000}"/>
    <cellStyle name="Normal 218 8" xfId="18272" xr:uid="{00000000-0005-0000-0000-000060470000}"/>
    <cellStyle name="Normal 219" xfId="18273" xr:uid="{00000000-0005-0000-0000-000061470000}"/>
    <cellStyle name="Normal 219 2" xfId="18274" xr:uid="{00000000-0005-0000-0000-000062470000}"/>
    <cellStyle name="Normal 219 2 2" xfId="18275" xr:uid="{00000000-0005-0000-0000-000063470000}"/>
    <cellStyle name="Normal 219 2 2 2" xfId="18276" xr:uid="{00000000-0005-0000-0000-000064470000}"/>
    <cellStyle name="Normal 219 2 2 2 2" xfId="18277" xr:uid="{00000000-0005-0000-0000-000065470000}"/>
    <cellStyle name="Normal 219 2 2 3" xfId="18278" xr:uid="{00000000-0005-0000-0000-000066470000}"/>
    <cellStyle name="Normal 219 2 2 3 2" xfId="18279" xr:uid="{00000000-0005-0000-0000-000067470000}"/>
    <cellStyle name="Normal 219 2 2 3 2 2" xfId="18280" xr:uid="{00000000-0005-0000-0000-000068470000}"/>
    <cellStyle name="Normal 219 2 2 3 3" xfId="18281" xr:uid="{00000000-0005-0000-0000-000069470000}"/>
    <cellStyle name="Normal 219 2 2 4" xfId="18282" xr:uid="{00000000-0005-0000-0000-00006A470000}"/>
    <cellStyle name="Normal 219 2 2 4 2" xfId="18283" xr:uid="{00000000-0005-0000-0000-00006B470000}"/>
    <cellStyle name="Normal 219 2 2 4 2 2" xfId="18284" xr:uid="{00000000-0005-0000-0000-00006C470000}"/>
    <cellStyle name="Normal 219 2 2 4 3" xfId="18285" xr:uid="{00000000-0005-0000-0000-00006D470000}"/>
    <cellStyle name="Normal 219 2 2 5" xfId="18286" xr:uid="{00000000-0005-0000-0000-00006E470000}"/>
    <cellStyle name="Normal 219 2 3" xfId="18287" xr:uid="{00000000-0005-0000-0000-00006F470000}"/>
    <cellStyle name="Normal 219 2 3 2" xfId="18288" xr:uid="{00000000-0005-0000-0000-000070470000}"/>
    <cellStyle name="Normal 219 2 3 2 2" xfId="18289" xr:uid="{00000000-0005-0000-0000-000071470000}"/>
    <cellStyle name="Normal 219 2 3 2 2 2" xfId="18290" xr:uid="{00000000-0005-0000-0000-000072470000}"/>
    <cellStyle name="Normal 219 2 3 2 3" xfId="18291" xr:uid="{00000000-0005-0000-0000-000073470000}"/>
    <cellStyle name="Normal 219 2 3 2 3 2" xfId="18292" xr:uid="{00000000-0005-0000-0000-000074470000}"/>
    <cellStyle name="Normal 219 2 3 2 3 2 2" xfId="18293" xr:uid="{00000000-0005-0000-0000-000075470000}"/>
    <cellStyle name="Normal 219 2 3 2 3 3" xfId="18294" xr:uid="{00000000-0005-0000-0000-000076470000}"/>
    <cellStyle name="Normal 219 2 3 2 4" xfId="18295" xr:uid="{00000000-0005-0000-0000-000077470000}"/>
    <cellStyle name="Normal 219 2 3 3" xfId="18296" xr:uid="{00000000-0005-0000-0000-000078470000}"/>
    <cellStyle name="Normal 219 2 3 3 2" xfId="18297" xr:uid="{00000000-0005-0000-0000-000079470000}"/>
    <cellStyle name="Normal 219 2 3 3 2 2" xfId="18298" xr:uid="{00000000-0005-0000-0000-00007A470000}"/>
    <cellStyle name="Normal 219 2 3 3 3" xfId="18299" xr:uid="{00000000-0005-0000-0000-00007B470000}"/>
    <cellStyle name="Normal 219 2 3 4" xfId="18300" xr:uid="{00000000-0005-0000-0000-00007C470000}"/>
    <cellStyle name="Normal 219 2 3 4 2" xfId="18301" xr:uid="{00000000-0005-0000-0000-00007D470000}"/>
    <cellStyle name="Normal 219 2 3 4 2 2" xfId="18302" xr:uid="{00000000-0005-0000-0000-00007E470000}"/>
    <cellStyle name="Normal 219 2 3 4 3" xfId="18303" xr:uid="{00000000-0005-0000-0000-00007F470000}"/>
    <cellStyle name="Normal 219 2 3 5" xfId="18304" xr:uid="{00000000-0005-0000-0000-000080470000}"/>
    <cellStyle name="Normal 219 2 3 5 2" xfId="18305" xr:uid="{00000000-0005-0000-0000-000081470000}"/>
    <cellStyle name="Normal 219 2 3 5 2 2" xfId="18306" xr:uid="{00000000-0005-0000-0000-000082470000}"/>
    <cellStyle name="Normal 219 2 3 5 3" xfId="18307" xr:uid="{00000000-0005-0000-0000-000083470000}"/>
    <cellStyle name="Normal 219 2 3 6" xfId="18308" xr:uid="{00000000-0005-0000-0000-000084470000}"/>
    <cellStyle name="Normal 219 2 4" xfId="18309" xr:uid="{00000000-0005-0000-0000-000085470000}"/>
    <cellStyle name="Normal 219 2 4 2" xfId="18310" xr:uid="{00000000-0005-0000-0000-000086470000}"/>
    <cellStyle name="Normal 219 2 4 2 2" xfId="18311" xr:uid="{00000000-0005-0000-0000-000087470000}"/>
    <cellStyle name="Normal 219 2 4 3" xfId="18312" xr:uid="{00000000-0005-0000-0000-000088470000}"/>
    <cellStyle name="Normal 219 2 5" xfId="18313" xr:uid="{00000000-0005-0000-0000-000089470000}"/>
    <cellStyle name="Normal 219 2 5 2" xfId="18314" xr:uid="{00000000-0005-0000-0000-00008A470000}"/>
    <cellStyle name="Normal 219 2 5 2 2" xfId="18315" xr:uid="{00000000-0005-0000-0000-00008B470000}"/>
    <cellStyle name="Normal 219 2 5 3" xfId="18316" xr:uid="{00000000-0005-0000-0000-00008C470000}"/>
    <cellStyle name="Normal 219 2 6" xfId="18317" xr:uid="{00000000-0005-0000-0000-00008D470000}"/>
    <cellStyle name="Normal 219 2 6 2" xfId="18318" xr:uid="{00000000-0005-0000-0000-00008E470000}"/>
    <cellStyle name="Normal 219 2 6 2 2" xfId="18319" xr:uid="{00000000-0005-0000-0000-00008F470000}"/>
    <cellStyle name="Normal 219 2 6 3" xfId="18320" xr:uid="{00000000-0005-0000-0000-000090470000}"/>
    <cellStyle name="Normal 219 2 7" xfId="18321" xr:uid="{00000000-0005-0000-0000-000091470000}"/>
    <cellStyle name="Normal 219 3" xfId="18322" xr:uid="{00000000-0005-0000-0000-000092470000}"/>
    <cellStyle name="Normal 219 3 2" xfId="18323" xr:uid="{00000000-0005-0000-0000-000093470000}"/>
    <cellStyle name="Normal 219 3 2 2" xfId="18324" xr:uid="{00000000-0005-0000-0000-000094470000}"/>
    <cellStyle name="Normal 219 3 3" xfId="18325" xr:uid="{00000000-0005-0000-0000-000095470000}"/>
    <cellStyle name="Normal 219 3 3 2" xfId="18326" xr:uid="{00000000-0005-0000-0000-000096470000}"/>
    <cellStyle name="Normal 219 3 3 2 2" xfId="18327" xr:uid="{00000000-0005-0000-0000-000097470000}"/>
    <cellStyle name="Normal 219 3 3 3" xfId="18328" xr:uid="{00000000-0005-0000-0000-000098470000}"/>
    <cellStyle name="Normal 219 3 4" xfId="18329" xr:uid="{00000000-0005-0000-0000-000099470000}"/>
    <cellStyle name="Normal 219 3 4 2" xfId="18330" xr:uid="{00000000-0005-0000-0000-00009A470000}"/>
    <cellStyle name="Normal 219 3 4 2 2" xfId="18331" xr:uid="{00000000-0005-0000-0000-00009B470000}"/>
    <cellStyle name="Normal 219 3 4 3" xfId="18332" xr:uid="{00000000-0005-0000-0000-00009C470000}"/>
    <cellStyle name="Normal 219 3 5" xfId="18333" xr:uid="{00000000-0005-0000-0000-00009D470000}"/>
    <cellStyle name="Normal 219 4" xfId="18334" xr:uid="{00000000-0005-0000-0000-00009E470000}"/>
    <cellStyle name="Normal 219 4 2" xfId="18335" xr:uid="{00000000-0005-0000-0000-00009F470000}"/>
    <cellStyle name="Normal 219 4 2 2" xfId="18336" xr:uid="{00000000-0005-0000-0000-0000A0470000}"/>
    <cellStyle name="Normal 219 4 2 2 2" xfId="18337" xr:uid="{00000000-0005-0000-0000-0000A1470000}"/>
    <cellStyle name="Normal 219 4 2 3" xfId="18338" xr:uid="{00000000-0005-0000-0000-0000A2470000}"/>
    <cellStyle name="Normal 219 4 2 3 2" xfId="18339" xr:uid="{00000000-0005-0000-0000-0000A3470000}"/>
    <cellStyle name="Normal 219 4 2 3 2 2" xfId="18340" xr:uid="{00000000-0005-0000-0000-0000A4470000}"/>
    <cellStyle name="Normal 219 4 2 3 3" xfId="18341" xr:uid="{00000000-0005-0000-0000-0000A5470000}"/>
    <cellStyle name="Normal 219 4 2 4" xfId="18342" xr:uid="{00000000-0005-0000-0000-0000A6470000}"/>
    <cellStyle name="Normal 219 4 3" xfId="18343" xr:uid="{00000000-0005-0000-0000-0000A7470000}"/>
    <cellStyle name="Normal 219 4 3 2" xfId="18344" xr:uid="{00000000-0005-0000-0000-0000A8470000}"/>
    <cellStyle name="Normal 219 4 3 2 2" xfId="18345" xr:uid="{00000000-0005-0000-0000-0000A9470000}"/>
    <cellStyle name="Normal 219 4 3 3" xfId="18346" xr:uid="{00000000-0005-0000-0000-0000AA470000}"/>
    <cellStyle name="Normal 219 4 4" xfId="18347" xr:uid="{00000000-0005-0000-0000-0000AB470000}"/>
    <cellStyle name="Normal 219 4 4 2" xfId="18348" xr:uid="{00000000-0005-0000-0000-0000AC470000}"/>
    <cellStyle name="Normal 219 4 4 2 2" xfId="18349" xr:uid="{00000000-0005-0000-0000-0000AD470000}"/>
    <cellStyle name="Normal 219 4 4 3" xfId="18350" xr:uid="{00000000-0005-0000-0000-0000AE470000}"/>
    <cellStyle name="Normal 219 4 5" xfId="18351" xr:uid="{00000000-0005-0000-0000-0000AF470000}"/>
    <cellStyle name="Normal 219 4 5 2" xfId="18352" xr:uid="{00000000-0005-0000-0000-0000B0470000}"/>
    <cellStyle name="Normal 219 4 5 2 2" xfId="18353" xr:uid="{00000000-0005-0000-0000-0000B1470000}"/>
    <cellStyle name="Normal 219 4 5 3" xfId="18354" xr:uid="{00000000-0005-0000-0000-0000B2470000}"/>
    <cellStyle name="Normal 219 4 6" xfId="18355" xr:uid="{00000000-0005-0000-0000-0000B3470000}"/>
    <cellStyle name="Normal 219 5" xfId="18356" xr:uid="{00000000-0005-0000-0000-0000B4470000}"/>
    <cellStyle name="Normal 219 5 2" xfId="18357" xr:uid="{00000000-0005-0000-0000-0000B5470000}"/>
    <cellStyle name="Normal 219 5 2 2" xfId="18358" xr:uid="{00000000-0005-0000-0000-0000B6470000}"/>
    <cellStyle name="Normal 219 5 3" xfId="18359" xr:uid="{00000000-0005-0000-0000-0000B7470000}"/>
    <cellStyle name="Normal 219 6" xfId="18360" xr:uid="{00000000-0005-0000-0000-0000B8470000}"/>
    <cellStyle name="Normal 219 6 2" xfId="18361" xr:uid="{00000000-0005-0000-0000-0000B9470000}"/>
    <cellStyle name="Normal 219 6 2 2" xfId="18362" xr:uid="{00000000-0005-0000-0000-0000BA470000}"/>
    <cellStyle name="Normal 219 6 3" xfId="18363" xr:uid="{00000000-0005-0000-0000-0000BB470000}"/>
    <cellStyle name="Normal 219 7" xfId="18364" xr:uid="{00000000-0005-0000-0000-0000BC470000}"/>
    <cellStyle name="Normal 219 7 2" xfId="18365" xr:uid="{00000000-0005-0000-0000-0000BD470000}"/>
    <cellStyle name="Normal 219 7 2 2" xfId="18366" xr:uid="{00000000-0005-0000-0000-0000BE470000}"/>
    <cellStyle name="Normal 219 7 3" xfId="18367" xr:uid="{00000000-0005-0000-0000-0000BF470000}"/>
    <cellStyle name="Normal 219 8" xfId="18368" xr:uid="{00000000-0005-0000-0000-0000C0470000}"/>
    <cellStyle name="Normal 22" xfId="18369" xr:uid="{00000000-0005-0000-0000-0000C1470000}"/>
    <cellStyle name="Normal 22 2" xfId="18370" xr:uid="{00000000-0005-0000-0000-0000C2470000}"/>
    <cellStyle name="Normal 22 2 2" xfId="18371" xr:uid="{00000000-0005-0000-0000-0000C3470000}"/>
    <cellStyle name="Normal 22 2 2 2" xfId="18372" xr:uid="{00000000-0005-0000-0000-0000C4470000}"/>
    <cellStyle name="Normal 22 2 2 2 2" xfId="18373" xr:uid="{00000000-0005-0000-0000-0000C5470000}"/>
    <cellStyle name="Normal 22 2 2 3" xfId="18374" xr:uid="{00000000-0005-0000-0000-0000C6470000}"/>
    <cellStyle name="Normal 22 2 2 3 2" xfId="18375" xr:uid="{00000000-0005-0000-0000-0000C7470000}"/>
    <cellStyle name="Normal 22 2 2 3 2 2" xfId="18376" xr:uid="{00000000-0005-0000-0000-0000C8470000}"/>
    <cellStyle name="Normal 22 2 2 3 3" xfId="18377" xr:uid="{00000000-0005-0000-0000-0000C9470000}"/>
    <cellStyle name="Normal 22 2 2 4" xfId="18378" xr:uid="{00000000-0005-0000-0000-0000CA470000}"/>
    <cellStyle name="Normal 22 2 2 4 2" xfId="18379" xr:uid="{00000000-0005-0000-0000-0000CB470000}"/>
    <cellStyle name="Normal 22 2 2 4 2 2" xfId="18380" xr:uid="{00000000-0005-0000-0000-0000CC470000}"/>
    <cellStyle name="Normal 22 2 2 4 3" xfId="18381" xr:uid="{00000000-0005-0000-0000-0000CD470000}"/>
    <cellStyle name="Normal 22 2 2 5" xfId="18382" xr:uid="{00000000-0005-0000-0000-0000CE470000}"/>
    <cellStyle name="Normal 22 2 3" xfId="18383" xr:uid="{00000000-0005-0000-0000-0000CF470000}"/>
    <cellStyle name="Normal 22 2 3 2" xfId="18384" xr:uid="{00000000-0005-0000-0000-0000D0470000}"/>
    <cellStyle name="Normal 22 2 3 2 2" xfId="18385" xr:uid="{00000000-0005-0000-0000-0000D1470000}"/>
    <cellStyle name="Normal 22 2 3 3" xfId="18386" xr:uid="{00000000-0005-0000-0000-0000D2470000}"/>
    <cellStyle name="Normal 22 2 4" xfId="18387" xr:uid="{00000000-0005-0000-0000-0000D3470000}"/>
    <cellStyle name="Normal 22 2 4 2" xfId="18388" xr:uid="{00000000-0005-0000-0000-0000D4470000}"/>
    <cellStyle name="Normal 22 2 4 2 2" xfId="18389" xr:uid="{00000000-0005-0000-0000-0000D5470000}"/>
    <cellStyle name="Normal 22 2 4 3" xfId="18390" xr:uid="{00000000-0005-0000-0000-0000D6470000}"/>
    <cellStyle name="Normal 22 2 5" xfId="18391" xr:uid="{00000000-0005-0000-0000-0000D7470000}"/>
    <cellStyle name="Normal 22 2 5 2" xfId="18392" xr:uid="{00000000-0005-0000-0000-0000D8470000}"/>
    <cellStyle name="Normal 22 2 5 2 2" xfId="18393" xr:uid="{00000000-0005-0000-0000-0000D9470000}"/>
    <cellStyle name="Normal 22 2 5 3" xfId="18394" xr:uid="{00000000-0005-0000-0000-0000DA470000}"/>
    <cellStyle name="Normal 22 2 6" xfId="18395" xr:uid="{00000000-0005-0000-0000-0000DB470000}"/>
    <cellStyle name="Normal 22 3" xfId="18396" xr:uid="{00000000-0005-0000-0000-0000DC470000}"/>
    <cellStyle name="Normal 22 3 2" xfId="18397" xr:uid="{00000000-0005-0000-0000-0000DD470000}"/>
    <cellStyle name="Normal 22 3 2 2" xfId="18398" xr:uid="{00000000-0005-0000-0000-0000DE470000}"/>
    <cellStyle name="Normal 22 3 3" xfId="18399" xr:uid="{00000000-0005-0000-0000-0000DF470000}"/>
    <cellStyle name="Normal 22 3 3 2" xfId="18400" xr:uid="{00000000-0005-0000-0000-0000E0470000}"/>
    <cellStyle name="Normal 22 3 3 2 2" xfId="18401" xr:uid="{00000000-0005-0000-0000-0000E1470000}"/>
    <cellStyle name="Normal 22 3 3 3" xfId="18402" xr:uid="{00000000-0005-0000-0000-0000E2470000}"/>
    <cellStyle name="Normal 22 3 4" xfId="18403" xr:uid="{00000000-0005-0000-0000-0000E3470000}"/>
    <cellStyle name="Normal 22 3 4 2" xfId="18404" xr:uid="{00000000-0005-0000-0000-0000E4470000}"/>
    <cellStyle name="Normal 22 3 4 2 2" xfId="18405" xr:uid="{00000000-0005-0000-0000-0000E5470000}"/>
    <cellStyle name="Normal 22 3 4 3" xfId="18406" xr:uid="{00000000-0005-0000-0000-0000E6470000}"/>
    <cellStyle name="Normal 22 3 5" xfId="18407" xr:uid="{00000000-0005-0000-0000-0000E7470000}"/>
    <cellStyle name="Normal 22 4" xfId="18408" xr:uid="{00000000-0005-0000-0000-0000E8470000}"/>
    <cellStyle name="Normal 22 4 2" xfId="18409" xr:uid="{00000000-0005-0000-0000-0000E9470000}"/>
    <cellStyle name="Normal 22 4 2 2" xfId="18410" xr:uid="{00000000-0005-0000-0000-0000EA470000}"/>
    <cellStyle name="Normal 22 4 2 2 2" xfId="18411" xr:uid="{00000000-0005-0000-0000-0000EB470000}"/>
    <cellStyle name="Normal 22 4 2 3" xfId="18412" xr:uid="{00000000-0005-0000-0000-0000EC470000}"/>
    <cellStyle name="Normal 22 4 2 3 2" xfId="18413" xr:uid="{00000000-0005-0000-0000-0000ED470000}"/>
    <cellStyle name="Normal 22 4 2 3 2 2" xfId="18414" xr:uid="{00000000-0005-0000-0000-0000EE470000}"/>
    <cellStyle name="Normal 22 4 2 3 3" xfId="18415" xr:uid="{00000000-0005-0000-0000-0000EF470000}"/>
    <cellStyle name="Normal 22 4 2 4" xfId="18416" xr:uid="{00000000-0005-0000-0000-0000F0470000}"/>
    <cellStyle name="Normal 22 4 3" xfId="18417" xr:uid="{00000000-0005-0000-0000-0000F1470000}"/>
    <cellStyle name="Normal 22 4 3 2" xfId="18418" xr:uid="{00000000-0005-0000-0000-0000F2470000}"/>
    <cellStyle name="Normal 22 4 3 2 2" xfId="18419" xr:uid="{00000000-0005-0000-0000-0000F3470000}"/>
    <cellStyle name="Normal 22 4 3 3" xfId="18420" xr:uid="{00000000-0005-0000-0000-0000F4470000}"/>
    <cellStyle name="Normal 22 4 4" xfId="18421" xr:uid="{00000000-0005-0000-0000-0000F5470000}"/>
    <cellStyle name="Normal 22 4 4 2" xfId="18422" xr:uid="{00000000-0005-0000-0000-0000F6470000}"/>
    <cellStyle name="Normal 22 4 4 2 2" xfId="18423" xr:uid="{00000000-0005-0000-0000-0000F7470000}"/>
    <cellStyle name="Normal 22 4 4 3" xfId="18424" xr:uid="{00000000-0005-0000-0000-0000F8470000}"/>
    <cellStyle name="Normal 22 4 5" xfId="18425" xr:uid="{00000000-0005-0000-0000-0000F9470000}"/>
    <cellStyle name="Normal 22 4 5 2" xfId="18426" xr:uid="{00000000-0005-0000-0000-0000FA470000}"/>
    <cellStyle name="Normal 22 4 5 2 2" xfId="18427" xr:uid="{00000000-0005-0000-0000-0000FB470000}"/>
    <cellStyle name="Normal 22 4 5 3" xfId="18428" xr:uid="{00000000-0005-0000-0000-0000FC470000}"/>
    <cellStyle name="Normal 22 4 6" xfId="18429" xr:uid="{00000000-0005-0000-0000-0000FD470000}"/>
    <cellStyle name="Normal 22 5" xfId="18430" xr:uid="{00000000-0005-0000-0000-0000FE470000}"/>
    <cellStyle name="Normal 220" xfId="18431" xr:uid="{00000000-0005-0000-0000-0000FF470000}"/>
    <cellStyle name="Normal 220 2" xfId="18432" xr:uid="{00000000-0005-0000-0000-000000480000}"/>
    <cellStyle name="Normal 220 2 2" xfId="18433" xr:uid="{00000000-0005-0000-0000-000001480000}"/>
    <cellStyle name="Normal 220 2 2 2" xfId="18434" xr:uid="{00000000-0005-0000-0000-000002480000}"/>
    <cellStyle name="Normal 220 2 2 2 2" xfId="18435" xr:uid="{00000000-0005-0000-0000-000003480000}"/>
    <cellStyle name="Normal 220 2 2 3" xfId="18436" xr:uid="{00000000-0005-0000-0000-000004480000}"/>
    <cellStyle name="Normal 220 2 2 3 2" xfId="18437" xr:uid="{00000000-0005-0000-0000-000005480000}"/>
    <cellStyle name="Normal 220 2 2 3 2 2" xfId="18438" xr:uid="{00000000-0005-0000-0000-000006480000}"/>
    <cellStyle name="Normal 220 2 2 3 3" xfId="18439" xr:uid="{00000000-0005-0000-0000-000007480000}"/>
    <cellStyle name="Normal 220 2 2 4" xfId="18440" xr:uid="{00000000-0005-0000-0000-000008480000}"/>
    <cellStyle name="Normal 220 2 2 4 2" xfId="18441" xr:uid="{00000000-0005-0000-0000-000009480000}"/>
    <cellStyle name="Normal 220 2 2 4 2 2" xfId="18442" xr:uid="{00000000-0005-0000-0000-00000A480000}"/>
    <cellStyle name="Normal 220 2 2 4 3" xfId="18443" xr:uid="{00000000-0005-0000-0000-00000B480000}"/>
    <cellStyle name="Normal 220 2 2 5" xfId="18444" xr:uid="{00000000-0005-0000-0000-00000C480000}"/>
    <cellStyle name="Normal 220 2 3" xfId="18445" xr:uid="{00000000-0005-0000-0000-00000D480000}"/>
    <cellStyle name="Normal 220 2 3 2" xfId="18446" xr:uid="{00000000-0005-0000-0000-00000E480000}"/>
    <cellStyle name="Normal 220 2 3 2 2" xfId="18447" xr:uid="{00000000-0005-0000-0000-00000F480000}"/>
    <cellStyle name="Normal 220 2 3 2 2 2" xfId="18448" xr:uid="{00000000-0005-0000-0000-000010480000}"/>
    <cellStyle name="Normal 220 2 3 2 3" xfId="18449" xr:uid="{00000000-0005-0000-0000-000011480000}"/>
    <cellStyle name="Normal 220 2 3 2 3 2" xfId="18450" xr:uid="{00000000-0005-0000-0000-000012480000}"/>
    <cellStyle name="Normal 220 2 3 2 3 2 2" xfId="18451" xr:uid="{00000000-0005-0000-0000-000013480000}"/>
    <cellStyle name="Normal 220 2 3 2 3 3" xfId="18452" xr:uid="{00000000-0005-0000-0000-000014480000}"/>
    <cellStyle name="Normal 220 2 3 2 4" xfId="18453" xr:uid="{00000000-0005-0000-0000-000015480000}"/>
    <cellStyle name="Normal 220 2 3 3" xfId="18454" xr:uid="{00000000-0005-0000-0000-000016480000}"/>
    <cellStyle name="Normal 220 2 3 3 2" xfId="18455" xr:uid="{00000000-0005-0000-0000-000017480000}"/>
    <cellStyle name="Normal 220 2 3 3 2 2" xfId="18456" xr:uid="{00000000-0005-0000-0000-000018480000}"/>
    <cellStyle name="Normal 220 2 3 3 3" xfId="18457" xr:uid="{00000000-0005-0000-0000-000019480000}"/>
    <cellStyle name="Normal 220 2 3 4" xfId="18458" xr:uid="{00000000-0005-0000-0000-00001A480000}"/>
    <cellStyle name="Normal 220 2 3 4 2" xfId="18459" xr:uid="{00000000-0005-0000-0000-00001B480000}"/>
    <cellStyle name="Normal 220 2 3 4 2 2" xfId="18460" xr:uid="{00000000-0005-0000-0000-00001C480000}"/>
    <cellStyle name="Normal 220 2 3 4 3" xfId="18461" xr:uid="{00000000-0005-0000-0000-00001D480000}"/>
    <cellStyle name="Normal 220 2 3 5" xfId="18462" xr:uid="{00000000-0005-0000-0000-00001E480000}"/>
    <cellStyle name="Normal 220 2 3 5 2" xfId="18463" xr:uid="{00000000-0005-0000-0000-00001F480000}"/>
    <cellStyle name="Normal 220 2 3 5 2 2" xfId="18464" xr:uid="{00000000-0005-0000-0000-000020480000}"/>
    <cellStyle name="Normal 220 2 3 5 3" xfId="18465" xr:uid="{00000000-0005-0000-0000-000021480000}"/>
    <cellStyle name="Normal 220 2 3 6" xfId="18466" xr:uid="{00000000-0005-0000-0000-000022480000}"/>
    <cellStyle name="Normal 220 2 4" xfId="18467" xr:uid="{00000000-0005-0000-0000-000023480000}"/>
    <cellStyle name="Normal 220 2 4 2" xfId="18468" xr:uid="{00000000-0005-0000-0000-000024480000}"/>
    <cellStyle name="Normal 220 2 4 2 2" xfId="18469" xr:uid="{00000000-0005-0000-0000-000025480000}"/>
    <cellStyle name="Normal 220 2 4 3" xfId="18470" xr:uid="{00000000-0005-0000-0000-000026480000}"/>
    <cellStyle name="Normal 220 2 5" xfId="18471" xr:uid="{00000000-0005-0000-0000-000027480000}"/>
    <cellStyle name="Normal 220 2 5 2" xfId="18472" xr:uid="{00000000-0005-0000-0000-000028480000}"/>
    <cellStyle name="Normal 220 2 5 2 2" xfId="18473" xr:uid="{00000000-0005-0000-0000-000029480000}"/>
    <cellStyle name="Normal 220 2 5 3" xfId="18474" xr:uid="{00000000-0005-0000-0000-00002A480000}"/>
    <cellStyle name="Normal 220 2 6" xfId="18475" xr:uid="{00000000-0005-0000-0000-00002B480000}"/>
    <cellStyle name="Normal 220 2 6 2" xfId="18476" xr:uid="{00000000-0005-0000-0000-00002C480000}"/>
    <cellStyle name="Normal 220 2 6 2 2" xfId="18477" xr:uid="{00000000-0005-0000-0000-00002D480000}"/>
    <cellStyle name="Normal 220 2 6 3" xfId="18478" xr:uid="{00000000-0005-0000-0000-00002E480000}"/>
    <cellStyle name="Normal 220 2 7" xfId="18479" xr:uid="{00000000-0005-0000-0000-00002F480000}"/>
    <cellStyle name="Normal 220 3" xfId="18480" xr:uid="{00000000-0005-0000-0000-000030480000}"/>
    <cellStyle name="Normal 220 3 2" xfId="18481" xr:uid="{00000000-0005-0000-0000-000031480000}"/>
    <cellStyle name="Normal 220 3 2 2" xfId="18482" xr:uid="{00000000-0005-0000-0000-000032480000}"/>
    <cellStyle name="Normal 220 3 3" xfId="18483" xr:uid="{00000000-0005-0000-0000-000033480000}"/>
    <cellStyle name="Normal 220 3 3 2" xfId="18484" xr:uid="{00000000-0005-0000-0000-000034480000}"/>
    <cellStyle name="Normal 220 3 3 2 2" xfId="18485" xr:uid="{00000000-0005-0000-0000-000035480000}"/>
    <cellStyle name="Normal 220 3 3 3" xfId="18486" xr:uid="{00000000-0005-0000-0000-000036480000}"/>
    <cellStyle name="Normal 220 3 4" xfId="18487" xr:uid="{00000000-0005-0000-0000-000037480000}"/>
    <cellStyle name="Normal 220 3 4 2" xfId="18488" xr:uid="{00000000-0005-0000-0000-000038480000}"/>
    <cellStyle name="Normal 220 3 4 2 2" xfId="18489" xr:uid="{00000000-0005-0000-0000-000039480000}"/>
    <cellStyle name="Normal 220 3 4 3" xfId="18490" xr:uid="{00000000-0005-0000-0000-00003A480000}"/>
    <cellStyle name="Normal 220 3 5" xfId="18491" xr:uid="{00000000-0005-0000-0000-00003B480000}"/>
    <cellStyle name="Normal 220 4" xfId="18492" xr:uid="{00000000-0005-0000-0000-00003C480000}"/>
    <cellStyle name="Normal 220 4 2" xfId="18493" xr:uid="{00000000-0005-0000-0000-00003D480000}"/>
    <cellStyle name="Normal 220 4 2 2" xfId="18494" xr:uid="{00000000-0005-0000-0000-00003E480000}"/>
    <cellStyle name="Normal 220 4 2 2 2" xfId="18495" xr:uid="{00000000-0005-0000-0000-00003F480000}"/>
    <cellStyle name="Normal 220 4 2 3" xfId="18496" xr:uid="{00000000-0005-0000-0000-000040480000}"/>
    <cellStyle name="Normal 220 4 2 3 2" xfId="18497" xr:uid="{00000000-0005-0000-0000-000041480000}"/>
    <cellStyle name="Normal 220 4 2 3 2 2" xfId="18498" xr:uid="{00000000-0005-0000-0000-000042480000}"/>
    <cellStyle name="Normal 220 4 2 3 3" xfId="18499" xr:uid="{00000000-0005-0000-0000-000043480000}"/>
    <cellStyle name="Normal 220 4 2 4" xfId="18500" xr:uid="{00000000-0005-0000-0000-000044480000}"/>
    <cellStyle name="Normal 220 4 3" xfId="18501" xr:uid="{00000000-0005-0000-0000-000045480000}"/>
    <cellStyle name="Normal 220 4 3 2" xfId="18502" xr:uid="{00000000-0005-0000-0000-000046480000}"/>
    <cellStyle name="Normal 220 4 3 2 2" xfId="18503" xr:uid="{00000000-0005-0000-0000-000047480000}"/>
    <cellStyle name="Normal 220 4 3 3" xfId="18504" xr:uid="{00000000-0005-0000-0000-000048480000}"/>
    <cellStyle name="Normal 220 4 4" xfId="18505" xr:uid="{00000000-0005-0000-0000-000049480000}"/>
    <cellStyle name="Normal 220 4 4 2" xfId="18506" xr:uid="{00000000-0005-0000-0000-00004A480000}"/>
    <cellStyle name="Normal 220 4 4 2 2" xfId="18507" xr:uid="{00000000-0005-0000-0000-00004B480000}"/>
    <cellStyle name="Normal 220 4 4 3" xfId="18508" xr:uid="{00000000-0005-0000-0000-00004C480000}"/>
    <cellStyle name="Normal 220 4 5" xfId="18509" xr:uid="{00000000-0005-0000-0000-00004D480000}"/>
    <cellStyle name="Normal 220 4 5 2" xfId="18510" xr:uid="{00000000-0005-0000-0000-00004E480000}"/>
    <cellStyle name="Normal 220 4 5 2 2" xfId="18511" xr:uid="{00000000-0005-0000-0000-00004F480000}"/>
    <cellStyle name="Normal 220 4 5 3" xfId="18512" xr:uid="{00000000-0005-0000-0000-000050480000}"/>
    <cellStyle name="Normal 220 4 6" xfId="18513" xr:uid="{00000000-0005-0000-0000-000051480000}"/>
    <cellStyle name="Normal 220 5" xfId="18514" xr:uid="{00000000-0005-0000-0000-000052480000}"/>
    <cellStyle name="Normal 220 5 2" xfId="18515" xr:uid="{00000000-0005-0000-0000-000053480000}"/>
    <cellStyle name="Normal 220 5 2 2" xfId="18516" xr:uid="{00000000-0005-0000-0000-000054480000}"/>
    <cellStyle name="Normal 220 5 3" xfId="18517" xr:uid="{00000000-0005-0000-0000-000055480000}"/>
    <cellStyle name="Normal 220 6" xfId="18518" xr:uid="{00000000-0005-0000-0000-000056480000}"/>
    <cellStyle name="Normal 220 6 2" xfId="18519" xr:uid="{00000000-0005-0000-0000-000057480000}"/>
    <cellStyle name="Normal 220 6 2 2" xfId="18520" xr:uid="{00000000-0005-0000-0000-000058480000}"/>
    <cellStyle name="Normal 220 6 3" xfId="18521" xr:uid="{00000000-0005-0000-0000-000059480000}"/>
    <cellStyle name="Normal 220 7" xfId="18522" xr:uid="{00000000-0005-0000-0000-00005A480000}"/>
    <cellStyle name="Normal 220 7 2" xfId="18523" xr:uid="{00000000-0005-0000-0000-00005B480000}"/>
    <cellStyle name="Normal 220 7 2 2" xfId="18524" xr:uid="{00000000-0005-0000-0000-00005C480000}"/>
    <cellStyle name="Normal 220 7 3" xfId="18525" xr:uid="{00000000-0005-0000-0000-00005D480000}"/>
    <cellStyle name="Normal 220 8" xfId="18526" xr:uid="{00000000-0005-0000-0000-00005E480000}"/>
    <cellStyle name="Normal 221" xfId="18527" xr:uid="{00000000-0005-0000-0000-00005F480000}"/>
    <cellStyle name="Normal 221 2" xfId="18528" xr:uid="{00000000-0005-0000-0000-000060480000}"/>
    <cellStyle name="Normal 221 2 2" xfId="18529" xr:uid="{00000000-0005-0000-0000-000061480000}"/>
    <cellStyle name="Normal 221 2 2 2" xfId="18530" xr:uid="{00000000-0005-0000-0000-000062480000}"/>
    <cellStyle name="Normal 221 2 2 2 2" xfId="18531" xr:uid="{00000000-0005-0000-0000-000063480000}"/>
    <cellStyle name="Normal 221 2 2 3" xfId="18532" xr:uid="{00000000-0005-0000-0000-000064480000}"/>
    <cellStyle name="Normal 221 2 2 3 2" xfId="18533" xr:uid="{00000000-0005-0000-0000-000065480000}"/>
    <cellStyle name="Normal 221 2 2 3 2 2" xfId="18534" xr:uid="{00000000-0005-0000-0000-000066480000}"/>
    <cellStyle name="Normal 221 2 2 3 3" xfId="18535" xr:uid="{00000000-0005-0000-0000-000067480000}"/>
    <cellStyle name="Normal 221 2 2 4" xfId="18536" xr:uid="{00000000-0005-0000-0000-000068480000}"/>
    <cellStyle name="Normal 221 2 2 4 2" xfId="18537" xr:uid="{00000000-0005-0000-0000-000069480000}"/>
    <cellStyle name="Normal 221 2 2 4 2 2" xfId="18538" xr:uid="{00000000-0005-0000-0000-00006A480000}"/>
    <cellStyle name="Normal 221 2 2 4 3" xfId="18539" xr:uid="{00000000-0005-0000-0000-00006B480000}"/>
    <cellStyle name="Normal 221 2 2 5" xfId="18540" xr:uid="{00000000-0005-0000-0000-00006C480000}"/>
    <cellStyle name="Normal 221 2 3" xfId="18541" xr:uid="{00000000-0005-0000-0000-00006D480000}"/>
    <cellStyle name="Normal 221 2 3 2" xfId="18542" xr:uid="{00000000-0005-0000-0000-00006E480000}"/>
    <cellStyle name="Normal 221 2 3 2 2" xfId="18543" xr:uid="{00000000-0005-0000-0000-00006F480000}"/>
    <cellStyle name="Normal 221 2 3 2 2 2" xfId="18544" xr:uid="{00000000-0005-0000-0000-000070480000}"/>
    <cellStyle name="Normal 221 2 3 2 3" xfId="18545" xr:uid="{00000000-0005-0000-0000-000071480000}"/>
    <cellStyle name="Normal 221 2 3 2 3 2" xfId="18546" xr:uid="{00000000-0005-0000-0000-000072480000}"/>
    <cellStyle name="Normal 221 2 3 2 3 2 2" xfId="18547" xr:uid="{00000000-0005-0000-0000-000073480000}"/>
    <cellStyle name="Normal 221 2 3 2 3 3" xfId="18548" xr:uid="{00000000-0005-0000-0000-000074480000}"/>
    <cellStyle name="Normal 221 2 3 2 4" xfId="18549" xr:uid="{00000000-0005-0000-0000-000075480000}"/>
    <cellStyle name="Normal 221 2 3 3" xfId="18550" xr:uid="{00000000-0005-0000-0000-000076480000}"/>
    <cellStyle name="Normal 221 2 3 3 2" xfId="18551" xr:uid="{00000000-0005-0000-0000-000077480000}"/>
    <cellStyle name="Normal 221 2 3 3 2 2" xfId="18552" xr:uid="{00000000-0005-0000-0000-000078480000}"/>
    <cellStyle name="Normal 221 2 3 3 3" xfId="18553" xr:uid="{00000000-0005-0000-0000-000079480000}"/>
    <cellStyle name="Normal 221 2 3 4" xfId="18554" xr:uid="{00000000-0005-0000-0000-00007A480000}"/>
    <cellStyle name="Normal 221 2 3 4 2" xfId="18555" xr:uid="{00000000-0005-0000-0000-00007B480000}"/>
    <cellStyle name="Normal 221 2 3 4 2 2" xfId="18556" xr:uid="{00000000-0005-0000-0000-00007C480000}"/>
    <cellStyle name="Normal 221 2 3 4 3" xfId="18557" xr:uid="{00000000-0005-0000-0000-00007D480000}"/>
    <cellStyle name="Normal 221 2 3 5" xfId="18558" xr:uid="{00000000-0005-0000-0000-00007E480000}"/>
    <cellStyle name="Normal 221 2 3 5 2" xfId="18559" xr:uid="{00000000-0005-0000-0000-00007F480000}"/>
    <cellStyle name="Normal 221 2 3 5 2 2" xfId="18560" xr:uid="{00000000-0005-0000-0000-000080480000}"/>
    <cellStyle name="Normal 221 2 3 5 3" xfId="18561" xr:uid="{00000000-0005-0000-0000-000081480000}"/>
    <cellStyle name="Normal 221 2 3 6" xfId="18562" xr:uid="{00000000-0005-0000-0000-000082480000}"/>
    <cellStyle name="Normal 221 2 4" xfId="18563" xr:uid="{00000000-0005-0000-0000-000083480000}"/>
    <cellStyle name="Normal 221 2 4 2" xfId="18564" xr:uid="{00000000-0005-0000-0000-000084480000}"/>
    <cellStyle name="Normal 221 2 4 2 2" xfId="18565" xr:uid="{00000000-0005-0000-0000-000085480000}"/>
    <cellStyle name="Normal 221 2 4 3" xfId="18566" xr:uid="{00000000-0005-0000-0000-000086480000}"/>
    <cellStyle name="Normal 221 2 5" xfId="18567" xr:uid="{00000000-0005-0000-0000-000087480000}"/>
    <cellStyle name="Normal 221 2 5 2" xfId="18568" xr:uid="{00000000-0005-0000-0000-000088480000}"/>
    <cellStyle name="Normal 221 2 5 2 2" xfId="18569" xr:uid="{00000000-0005-0000-0000-000089480000}"/>
    <cellStyle name="Normal 221 2 5 3" xfId="18570" xr:uid="{00000000-0005-0000-0000-00008A480000}"/>
    <cellStyle name="Normal 221 2 6" xfId="18571" xr:uid="{00000000-0005-0000-0000-00008B480000}"/>
    <cellStyle name="Normal 221 2 6 2" xfId="18572" xr:uid="{00000000-0005-0000-0000-00008C480000}"/>
    <cellStyle name="Normal 221 2 6 2 2" xfId="18573" xr:uid="{00000000-0005-0000-0000-00008D480000}"/>
    <cellStyle name="Normal 221 2 6 3" xfId="18574" xr:uid="{00000000-0005-0000-0000-00008E480000}"/>
    <cellStyle name="Normal 221 2 7" xfId="18575" xr:uid="{00000000-0005-0000-0000-00008F480000}"/>
    <cellStyle name="Normal 221 3" xfId="18576" xr:uid="{00000000-0005-0000-0000-000090480000}"/>
    <cellStyle name="Normal 221 3 2" xfId="18577" xr:uid="{00000000-0005-0000-0000-000091480000}"/>
    <cellStyle name="Normal 221 3 2 2" xfId="18578" xr:uid="{00000000-0005-0000-0000-000092480000}"/>
    <cellStyle name="Normal 221 3 3" xfId="18579" xr:uid="{00000000-0005-0000-0000-000093480000}"/>
    <cellStyle name="Normal 221 3 3 2" xfId="18580" xr:uid="{00000000-0005-0000-0000-000094480000}"/>
    <cellStyle name="Normal 221 3 3 2 2" xfId="18581" xr:uid="{00000000-0005-0000-0000-000095480000}"/>
    <cellStyle name="Normal 221 3 3 3" xfId="18582" xr:uid="{00000000-0005-0000-0000-000096480000}"/>
    <cellStyle name="Normal 221 3 4" xfId="18583" xr:uid="{00000000-0005-0000-0000-000097480000}"/>
    <cellStyle name="Normal 221 3 4 2" xfId="18584" xr:uid="{00000000-0005-0000-0000-000098480000}"/>
    <cellStyle name="Normal 221 3 4 2 2" xfId="18585" xr:uid="{00000000-0005-0000-0000-000099480000}"/>
    <cellStyle name="Normal 221 3 4 3" xfId="18586" xr:uid="{00000000-0005-0000-0000-00009A480000}"/>
    <cellStyle name="Normal 221 3 5" xfId="18587" xr:uid="{00000000-0005-0000-0000-00009B480000}"/>
    <cellStyle name="Normal 221 4" xfId="18588" xr:uid="{00000000-0005-0000-0000-00009C480000}"/>
    <cellStyle name="Normal 221 4 2" xfId="18589" xr:uid="{00000000-0005-0000-0000-00009D480000}"/>
    <cellStyle name="Normal 221 4 2 2" xfId="18590" xr:uid="{00000000-0005-0000-0000-00009E480000}"/>
    <cellStyle name="Normal 221 4 2 2 2" xfId="18591" xr:uid="{00000000-0005-0000-0000-00009F480000}"/>
    <cellStyle name="Normal 221 4 2 3" xfId="18592" xr:uid="{00000000-0005-0000-0000-0000A0480000}"/>
    <cellStyle name="Normal 221 4 2 3 2" xfId="18593" xr:uid="{00000000-0005-0000-0000-0000A1480000}"/>
    <cellStyle name="Normal 221 4 2 3 2 2" xfId="18594" xr:uid="{00000000-0005-0000-0000-0000A2480000}"/>
    <cellStyle name="Normal 221 4 2 3 3" xfId="18595" xr:uid="{00000000-0005-0000-0000-0000A3480000}"/>
    <cellStyle name="Normal 221 4 2 4" xfId="18596" xr:uid="{00000000-0005-0000-0000-0000A4480000}"/>
    <cellStyle name="Normal 221 4 3" xfId="18597" xr:uid="{00000000-0005-0000-0000-0000A5480000}"/>
    <cellStyle name="Normal 221 4 3 2" xfId="18598" xr:uid="{00000000-0005-0000-0000-0000A6480000}"/>
    <cellStyle name="Normal 221 4 3 2 2" xfId="18599" xr:uid="{00000000-0005-0000-0000-0000A7480000}"/>
    <cellStyle name="Normal 221 4 3 3" xfId="18600" xr:uid="{00000000-0005-0000-0000-0000A8480000}"/>
    <cellStyle name="Normal 221 4 4" xfId="18601" xr:uid="{00000000-0005-0000-0000-0000A9480000}"/>
    <cellStyle name="Normal 221 4 4 2" xfId="18602" xr:uid="{00000000-0005-0000-0000-0000AA480000}"/>
    <cellStyle name="Normal 221 4 4 2 2" xfId="18603" xr:uid="{00000000-0005-0000-0000-0000AB480000}"/>
    <cellStyle name="Normal 221 4 4 3" xfId="18604" xr:uid="{00000000-0005-0000-0000-0000AC480000}"/>
    <cellStyle name="Normal 221 4 5" xfId="18605" xr:uid="{00000000-0005-0000-0000-0000AD480000}"/>
    <cellStyle name="Normal 221 4 5 2" xfId="18606" xr:uid="{00000000-0005-0000-0000-0000AE480000}"/>
    <cellStyle name="Normal 221 4 5 2 2" xfId="18607" xr:uid="{00000000-0005-0000-0000-0000AF480000}"/>
    <cellStyle name="Normal 221 4 5 3" xfId="18608" xr:uid="{00000000-0005-0000-0000-0000B0480000}"/>
    <cellStyle name="Normal 221 4 6" xfId="18609" xr:uid="{00000000-0005-0000-0000-0000B1480000}"/>
    <cellStyle name="Normal 221 5" xfId="18610" xr:uid="{00000000-0005-0000-0000-0000B2480000}"/>
    <cellStyle name="Normal 221 5 2" xfId="18611" xr:uid="{00000000-0005-0000-0000-0000B3480000}"/>
    <cellStyle name="Normal 221 5 2 2" xfId="18612" xr:uid="{00000000-0005-0000-0000-0000B4480000}"/>
    <cellStyle name="Normal 221 5 3" xfId="18613" xr:uid="{00000000-0005-0000-0000-0000B5480000}"/>
    <cellStyle name="Normal 221 6" xfId="18614" xr:uid="{00000000-0005-0000-0000-0000B6480000}"/>
    <cellStyle name="Normal 221 6 2" xfId="18615" xr:uid="{00000000-0005-0000-0000-0000B7480000}"/>
    <cellStyle name="Normal 221 6 2 2" xfId="18616" xr:uid="{00000000-0005-0000-0000-0000B8480000}"/>
    <cellStyle name="Normal 221 6 3" xfId="18617" xr:uid="{00000000-0005-0000-0000-0000B9480000}"/>
    <cellStyle name="Normal 221 7" xfId="18618" xr:uid="{00000000-0005-0000-0000-0000BA480000}"/>
    <cellStyle name="Normal 221 7 2" xfId="18619" xr:uid="{00000000-0005-0000-0000-0000BB480000}"/>
    <cellStyle name="Normal 221 7 2 2" xfId="18620" xr:uid="{00000000-0005-0000-0000-0000BC480000}"/>
    <cellStyle name="Normal 221 7 3" xfId="18621" xr:uid="{00000000-0005-0000-0000-0000BD480000}"/>
    <cellStyle name="Normal 221 8" xfId="18622" xr:uid="{00000000-0005-0000-0000-0000BE480000}"/>
    <cellStyle name="Normal 222" xfId="18623" xr:uid="{00000000-0005-0000-0000-0000BF480000}"/>
    <cellStyle name="Normal 222 2" xfId="18624" xr:uid="{00000000-0005-0000-0000-0000C0480000}"/>
    <cellStyle name="Normal 222 2 2" xfId="18625" xr:uid="{00000000-0005-0000-0000-0000C1480000}"/>
    <cellStyle name="Normal 222 2 2 2" xfId="18626" xr:uid="{00000000-0005-0000-0000-0000C2480000}"/>
    <cellStyle name="Normal 222 2 2 2 2" xfId="18627" xr:uid="{00000000-0005-0000-0000-0000C3480000}"/>
    <cellStyle name="Normal 222 2 2 3" xfId="18628" xr:uid="{00000000-0005-0000-0000-0000C4480000}"/>
    <cellStyle name="Normal 222 2 2 3 2" xfId="18629" xr:uid="{00000000-0005-0000-0000-0000C5480000}"/>
    <cellStyle name="Normal 222 2 2 3 2 2" xfId="18630" xr:uid="{00000000-0005-0000-0000-0000C6480000}"/>
    <cellStyle name="Normal 222 2 2 3 3" xfId="18631" xr:uid="{00000000-0005-0000-0000-0000C7480000}"/>
    <cellStyle name="Normal 222 2 2 4" xfId="18632" xr:uid="{00000000-0005-0000-0000-0000C8480000}"/>
    <cellStyle name="Normal 222 2 2 4 2" xfId="18633" xr:uid="{00000000-0005-0000-0000-0000C9480000}"/>
    <cellStyle name="Normal 222 2 2 4 2 2" xfId="18634" xr:uid="{00000000-0005-0000-0000-0000CA480000}"/>
    <cellStyle name="Normal 222 2 2 4 3" xfId="18635" xr:uid="{00000000-0005-0000-0000-0000CB480000}"/>
    <cellStyle name="Normal 222 2 2 5" xfId="18636" xr:uid="{00000000-0005-0000-0000-0000CC480000}"/>
    <cellStyle name="Normal 222 2 3" xfId="18637" xr:uid="{00000000-0005-0000-0000-0000CD480000}"/>
    <cellStyle name="Normal 222 2 3 2" xfId="18638" xr:uid="{00000000-0005-0000-0000-0000CE480000}"/>
    <cellStyle name="Normal 222 2 3 2 2" xfId="18639" xr:uid="{00000000-0005-0000-0000-0000CF480000}"/>
    <cellStyle name="Normal 222 2 3 2 2 2" xfId="18640" xr:uid="{00000000-0005-0000-0000-0000D0480000}"/>
    <cellStyle name="Normal 222 2 3 2 3" xfId="18641" xr:uid="{00000000-0005-0000-0000-0000D1480000}"/>
    <cellStyle name="Normal 222 2 3 2 3 2" xfId="18642" xr:uid="{00000000-0005-0000-0000-0000D2480000}"/>
    <cellStyle name="Normal 222 2 3 2 3 2 2" xfId="18643" xr:uid="{00000000-0005-0000-0000-0000D3480000}"/>
    <cellStyle name="Normal 222 2 3 2 3 3" xfId="18644" xr:uid="{00000000-0005-0000-0000-0000D4480000}"/>
    <cellStyle name="Normal 222 2 3 2 4" xfId="18645" xr:uid="{00000000-0005-0000-0000-0000D5480000}"/>
    <cellStyle name="Normal 222 2 3 3" xfId="18646" xr:uid="{00000000-0005-0000-0000-0000D6480000}"/>
    <cellStyle name="Normal 222 2 3 3 2" xfId="18647" xr:uid="{00000000-0005-0000-0000-0000D7480000}"/>
    <cellStyle name="Normal 222 2 3 3 2 2" xfId="18648" xr:uid="{00000000-0005-0000-0000-0000D8480000}"/>
    <cellStyle name="Normal 222 2 3 3 3" xfId="18649" xr:uid="{00000000-0005-0000-0000-0000D9480000}"/>
    <cellStyle name="Normal 222 2 3 4" xfId="18650" xr:uid="{00000000-0005-0000-0000-0000DA480000}"/>
    <cellStyle name="Normal 222 2 3 4 2" xfId="18651" xr:uid="{00000000-0005-0000-0000-0000DB480000}"/>
    <cellStyle name="Normal 222 2 3 4 2 2" xfId="18652" xr:uid="{00000000-0005-0000-0000-0000DC480000}"/>
    <cellStyle name="Normal 222 2 3 4 3" xfId="18653" xr:uid="{00000000-0005-0000-0000-0000DD480000}"/>
    <cellStyle name="Normal 222 2 3 5" xfId="18654" xr:uid="{00000000-0005-0000-0000-0000DE480000}"/>
    <cellStyle name="Normal 222 2 3 5 2" xfId="18655" xr:uid="{00000000-0005-0000-0000-0000DF480000}"/>
    <cellStyle name="Normal 222 2 3 5 2 2" xfId="18656" xr:uid="{00000000-0005-0000-0000-0000E0480000}"/>
    <cellStyle name="Normal 222 2 3 5 3" xfId="18657" xr:uid="{00000000-0005-0000-0000-0000E1480000}"/>
    <cellStyle name="Normal 222 2 3 6" xfId="18658" xr:uid="{00000000-0005-0000-0000-0000E2480000}"/>
    <cellStyle name="Normal 222 2 4" xfId="18659" xr:uid="{00000000-0005-0000-0000-0000E3480000}"/>
    <cellStyle name="Normal 222 2 4 2" xfId="18660" xr:uid="{00000000-0005-0000-0000-0000E4480000}"/>
    <cellStyle name="Normal 222 2 4 2 2" xfId="18661" xr:uid="{00000000-0005-0000-0000-0000E5480000}"/>
    <cellStyle name="Normal 222 2 4 3" xfId="18662" xr:uid="{00000000-0005-0000-0000-0000E6480000}"/>
    <cellStyle name="Normal 222 2 5" xfId="18663" xr:uid="{00000000-0005-0000-0000-0000E7480000}"/>
    <cellStyle name="Normal 222 2 5 2" xfId="18664" xr:uid="{00000000-0005-0000-0000-0000E8480000}"/>
    <cellStyle name="Normal 222 2 5 2 2" xfId="18665" xr:uid="{00000000-0005-0000-0000-0000E9480000}"/>
    <cellStyle name="Normal 222 2 5 3" xfId="18666" xr:uid="{00000000-0005-0000-0000-0000EA480000}"/>
    <cellStyle name="Normal 222 2 6" xfId="18667" xr:uid="{00000000-0005-0000-0000-0000EB480000}"/>
    <cellStyle name="Normal 222 2 6 2" xfId="18668" xr:uid="{00000000-0005-0000-0000-0000EC480000}"/>
    <cellStyle name="Normal 222 2 6 2 2" xfId="18669" xr:uid="{00000000-0005-0000-0000-0000ED480000}"/>
    <cellStyle name="Normal 222 2 6 3" xfId="18670" xr:uid="{00000000-0005-0000-0000-0000EE480000}"/>
    <cellStyle name="Normal 222 2 7" xfId="18671" xr:uid="{00000000-0005-0000-0000-0000EF480000}"/>
    <cellStyle name="Normal 222 3" xfId="18672" xr:uid="{00000000-0005-0000-0000-0000F0480000}"/>
    <cellStyle name="Normal 222 3 2" xfId="18673" xr:uid="{00000000-0005-0000-0000-0000F1480000}"/>
    <cellStyle name="Normal 222 3 2 2" xfId="18674" xr:uid="{00000000-0005-0000-0000-0000F2480000}"/>
    <cellStyle name="Normal 222 3 3" xfId="18675" xr:uid="{00000000-0005-0000-0000-0000F3480000}"/>
    <cellStyle name="Normal 222 3 3 2" xfId="18676" xr:uid="{00000000-0005-0000-0000-0000F4480000}"/>
    <cellStyle name="Normal 222 3 3 2 2" xfId="18677" xr:uid="{00000000-0005-0000-0000-0000F5480000}"/>
    <cellStyle name="Normal 222 3 3 3" xfId="18678" xr:uid="{00000000-0005-0000-0000-0000F6480000}"/>
    <cellStyle name="Normal 222 3 4" xfId="18679" xr:uid="{00000000-0005-0000-0000-0000F7480000}"/>
    <cellStyle name="Normal 222 3 4 2" xfId="18680" xr:uid="{00000000-0005-0000-0000-0000F8480000}"/>
    <cellStyle name="Normal 222 3 4 2 2" xfId="18681" xr:uid="{00000000-0005-0000-0000-0000F9480000}"/>
    <cellStyle name="Normal 222 3 4 3" xfId="18682" xr:uid="{00000000-0005-0000-0000-0000FA480000}"/>
    <cellStyle name="Normal 222 3 5" xfId="18683" xr:uid="{00000000-0005-0000-0000-0000FB480000}"/>
    <cellStyle name="Normal 222 4" xfId="18684" xr:uid="{00000000-0005-0000-0000-0000FC480000}"/>
    <cellStyle name="Normal 222 4 2" xfId="18685" xr:uid="{00000000-0005-0000-0000-0000FD480000}"/>
    <cellStyle name="Normal 222 4 2 2" xfId="18686" xr:uid="{00000000-0005-0000-0000-0000FE480000}"/>
    <cellStyle name="Normal 222 4 2 2 2" xfId="18687" xr:uid="{00000000-0005-0000-0000-0000FF480000}"/>
    <cellStyle name="Normal 222 4 2 3" xfId="18688" xr:uid="{00000000-0005-0000-0000-000000490000}"/>
    <cellStyle name="Normal 222 4 2 3 2" xfId="18689" xr:uid="{00000000-0005-0000-0000-000001490000}"/>
    <cellStyle name="Normal 222 4 2 3 2 2" xfId="18690" xr:uid="{00000000-0005-0000-0000-000002490000}"/>
    <cellStyle name="Normal 222 4 2 3 3" xfId="18691" xr:uid="{00000000-0005-0000-0000-000003490000}"/>
    <cellStyle name="Normal 222 4 2 4" xfId="18692" xr:uid="{00000000-0005-0000-0000-000004490000}"/>
    <cellStyle name="Normal 222 4 3" xfId="18693" xr:uid="{00000000-0005-0000-0000-000005490000}"/>
    <cellStyle name="Normal 222 4 3 2" xfId="18694" xr:uid="{00000000-0005-0000-0000-000006490000}"/>
    <cellStyle name="Normal 222 4 3 2 2" xfId="18695" xr:uid="{00000000-0005-0000-0000-000007490000}"/>
    <cellStyle name="Normal 222 4 3 3" xfId="18696" xr:uid="{00000000-0005-0000-0000-000008490000}"/>
    <cellStyle name="Normal 222 4 4" xfId="18697" xr:uid="{00000000-0005-0000-0000-000009490000}"/>
    <cellStyle name="Normal 222 4 4 2" xfId="18698" xr:uid="{00000000-0005-0000-0000-00000A490000}"/>
    <cellStyle name="Normal 222 4 4 2 2" xfId="18699" xr:uid="{00000000-0005-0000-0000-00000B490000}"/>
    <cellStyle name="Normal 222 4 4 3" xfId="18700" xr:uid="{00000000-0005-0000-0000-00000C490000}"/>
    <cellStyle name="Normal 222 4 5" xfId="18701" xr:uid="{00000000-0005-0000-0000-00000D490000}"/>
    <cellStyle name="Normal 222 4 5 2" xfId="18702" xr:uid="{00000000-0005-0000-0000-00000E490000}"/>
    <cellStyle name="Normal 222 4 5 2 2" xfId="18703" xr:uid="{00000000-0005-0000-0000-00000F490000}"/>
    <cellStyle name="Normal 222 4 5 3" xfId="18704" xr:uid="{00000000-0005-0000-0000-000010490000}"/>
    <cellStyle name="Normal 222 4 6" xfId="18705" xr:uid="{00000000-0005-0000-0000-000011490000}"/>
    <cellStyle name="Normal 222 5" xfId="18706" xr:uid="{00000000-0005-0000-0000-000012490000}"/>
    <cellStyle name="Normal 222 5 2" xfId="18707" xr:uid="{00000000-0005-0000-0000-000013490000}"/>
    <cellStyle name="Normal 222 5 2 2" xfId="18708" xr:uid="{00000000-0005-0000-0000-000014490000}"/>
    <cellStyle name="Normal 222 5 3" xfId="18709" xr:uid="{00000000-0005-0000-0000-000015490000}"/>
    <cellStyle name="Normal 222 6" xfId="18710" xr:uid="{00000000-0005-0000-0000-000016490000}"/>
    <cellStyle name="Normal 222 6 2" xfId="18711" xr:uid="{00000000-0005-0000-0000-000017490000}"/>
    <cellStyle name="Normal 222 6 2 2" xfId="18712" xr:uid="{00000000-0005-0000-0000-000018490000}"/>
    <cellStyle name="Normal 222 6 3" xfId="18713" xr:uid="{00000000-0005-0000-0000-000019490000}"/>
    <cellStyle name="Normal 222 7" xfId="18714" xr:uid="{00000000-0005-0000-0000-00001A490000}"/>
    <cellStyle name="Normal 222 7 2" xfId="18715" xr:uid="{00000000-0005-0000-0000-00001B490000}"/>
    <cellStyle name="Normal 222 7 2 2" xfId="18716" xr:uid="{00000000-0005-0000-0000-00001C490000}"/>
    <cellStyle name="Normal 222 7 3" xfId="18717" xr:uid="{00000000-0005-0000-0000-00001D490000}"/>
    <cellStyle name="Normal 222 8" xfId="18718" xr:uid="{00000000-0005-0000-0000-00001E490000}"/>
    <cellStyle name="Normal 223" xfId="18719" xr:uid="{00000000-0005-0000-0000-00001F490000}"/>
    <cellStyle name="Normal 223 2" xfId="18720" xr:uid="{00000000-0005-0000-0000-000020490000}"/>
    <cellStyle name="Normal 223 2 2" xfId="18721" xr:uid="{00000000-0005-0000-0000-000021490000}"/>
    <cellStyle name="Normal 223 2 2 2" xfId="18722" xr:uid="{00000000-0005-0000-0000-000022490000}"/>
    <cellStyle name="Normal 223 2 2 2 2" xfId="18723" xr:uid="{00000000-0005-0000-0000-000023490000}"/>
    <cellStyle name="Normal 223 2 2 3" xfId="18724" xr:uid="{00000000-0005-0000-0000-000024490000}"/>
    <cellStyle name="Normal 223 2 2 3 2" xfId="18725" xr:uid="{00000000-0005-0000-0000-000025490000}"/>
    <cellStyle name="Normal 223 2 2 3 2 2" xfId="18726" xr:uid="{00000000-0005-0000-0000-000026490000}"/>
    <cellStyle name="Normal 223 2 2 3 3" xfId="18727" xr:uid="{00000000-0005-0000-0000-000027490000}"/>
    <cellStyle name="Normal 223 2 2 4" xfId="18728" xr:uid="{00000000-0005-0000-0000-000028490000}"/>
    <cellStyle name="Normal 223 2 2 4 2" xfId="18729" xr:uid="{00000000-0005-0000-0000-000029490000}"/>
    <cellStyle name="Normal 223 2 2 4 2 2" xfId="18730" xr:uid="{00000000-0005-0000-0000-00002A490000}"/>
    <cellStyle name="Normal 223 2 2 4 3" xfId="18731" xr:uid="{00000000-0005-0000-0000-00002B490000}"/>
    <cellStyle name="Normal 223 2 2 5" xfId="18732" xr:uid="{00000000-0005-0000-0000-00002C490000}"/>
    <cellStyle name="Normal 223 2 3" xfId="18733" xr:uid="{00000000-0005-0000-0000-00002D490000}"/>
    <cellStyle name="Normal 223 2 3 2" xfId="18734" xr:uid="{00000000-0005-0000-0000-00002E490000}"/>
    <cellStyle name="Normal 223 2 3 2 2" xfId="18735" xr:uid="{00000000-0005-0000-0000-00002F490000}"/>
    <cellStyle name="Normal 223 2 3 2 2 2" xfId="18736" xr:uid="{00000000-0005-0000-0000-000030490000}"/>
    <cellStyle name="Normal 223 2 3 2 3" xfId="18737" xr:uid="{00000000-0005-0000-0000-000031490000}"/>
    <cellStyle name="Normal 223 2 3 2 3 2" xfId="18738" xr:uid="{00000000-0005-0000-0000-000032490000}"/>
    <cellStyle name="Normal 223 2 3 2 3 2 2" xfId="18739" xr:uid="{00000000-0005-0000-0000-000033490000}"/>
    <cellStyle name="Normal 223 2 3 2 3 3" xfId="18740" xr:uid="{00000000-0005-0000-0000-000034490000}"/>
    <cellStyle name="Normal 223 2 3 2 4" xfId="18741" xr:uid="{00000000-0005-0000-0000-000035490000}"/>
    <cellStyle name="Normal 223 2 3 3" xfId="18742" xr:uid="{00000000-0005-0000-0000-000036490000}"/>
    <cellStyle name="Normal 223 2 3 3 2" xfId="18743" xr:uid="{00000000-0005-0000-0000-000037490000}"/>
    <cellStyle name="Normal 223 2 3 3 2 2" xfId="18744" xr:uid="{00000000-0005-0000-0000-000038490000}"/>
    <cellStyle name="Normal 223 2 3 3 3" xfId="18745" xr:uid="{00000000-0005-0000-0000-000039490000}"/>
    <cellStyle name="Normal 223 2 3 4" xfId="18746" xr:uid="{00000000-0005-0000-0000-00003A490000}"/>
    <cellStyle name="Normal 223 2 3 4 2" xfId="18747" xr:uid="{00000000-0005-0000-0000-00003B490000}"/>
    <cellStyle name="Normal 223 2 3 4 2 2" xfId="18748" xr:uid="{00000000-0005-0000-0000-00003C490000}"/>
    <cellStyle name="Normal 223 2 3 4 3" xfId="18749" xr:uid="{00000000-0005-0000-0000-00003D490000}"/>
    <cellStyle name="Normal 223 2 3 5" xfId="18750" xr:uid="{00000000-0005-0000-0000-00003E490000}"/>
    <cellStyle name="Normal 223 2 3 5 2" xfId="18751" xr:uid="{00000000-0005-0000-0000-00003F490000}"/>
    <cellStyle name="Normal 223 2 3 5 2 2" xfId="18752" xr:uid="{00000000-0005-0000-0000-000040490000}"/>
    <cellStyle name="Normal 223 2 3 5 3" xfId="18753" xr:uid="{00000000-0005-0000-0000-000041490000}"/>
    <cellStyle name="Normal 223 2 3 6" xfId="18754" xr:uid="{00000000-0005-0000-0000-000042490000}"/>
    <cellStyle name="Normal 223 2 4" xfId="18755" xr:uid="{00000000-0005-0000-0000-000043490000}"/>
    <cellStyle name="Normal 223 2 4 2" xfId="18756" xr:uid="{00000000-0005-0000-0000-000044490000}"/>
    <cellStyle name="Normal 223 2 4 2 2" xfId="18757" xr:uid="{00000000-0005-0000-0000-000045490000}"/>
    <cellStyle name="Normal 223 2 4 3" xfId="18758" xr:uid="{00000000-0005-0000-0000-000046490000}"/>
    <cellStyle name="Normal 223 2 5" xfId="18759" xr:uid="{00000000-0005-0000-0000-000047490000}"/>
    <cellStyle name="Normal 223 2 5 2" xfId="18760" xr:uid="{00000000-0005-0000-0000-000048490000}"/>
    <cellStyle name="Normal 223 2 5 2 2" xfId="18761" xr:uid="{00000000-0005-0000-0000-000049490000}"/>
    <cellStyle name="Normal 223 2 5 3" xfId="18762" xr:uid="{00000000-0005-0000-0000-00004A490000}"/>
    <cellStyle name="Normal 223 2 6" xfId="18763" xr:uid="{00000000-0005-0000-0000-00004B490000}"/>
    <cellStyle name="Normal 223 2 6 2" xfId="18764" xr:uid="{00000000-0005-0000-0000-00004C490000}"/>
    <cellStyle name="Normal 223 2 6 2 2" xfId="18765" xr:uid="{00000000-0005-0000-0000-00004D490000}"/>
    <cellStyle name="Normal 223 2 6 3" xfId="18766" xr:uid="{00000000-0005-0000-0000-00004E490000}"/>
    <cellStyle name="Normal 223 2 7" xfId="18767" xr:uid="{00000000-0005-0000-0000-00004F490000}"/>
    <cellStyle name="Normal 223 3" xfId="18768" xr:uid="{00000000-0005-0000-0000-000050490000}"/>
    <cellStyle name="Normal 223 3 2" xfId="18769" xr:uid="{00000000-0005-0000-0000-000051490000}"/>
    <cellStyle name="Normal 223 3 2 2" xfId="18770" xr:uid="{00000000-0005-0000-0000-000052490000}"/>
    <cellStyle name="Normal 223 3 3" xfId="18771" xr:uid="{00000000-0005-0000-0000-000053490000}"/>
    <cellStyle name="Normal 223 3 3 2" xfId="18772" xr:uid="{00000000-0005-0000-0000-000054490000}"/>
    <cellStyle name="Normal 223 3 3 2 2" xfId="18773" xr:uid="{00000000-0005-0000-0000-000055490000}"/>
    <cellStyle name="Normal 223 3 3 3" xfId="18774" xr:uid="{00000000-0005-0000-0000-000056490000}"/>
    <cellStyle name="Normal 223 3 4" xfId="18775" xr:uid="{00000000-0005-0000-0000-000057490000}"/>
    <cellStyle name="Normal 223 3 4 2" xfId="18776" xr:uid="{00000000-0005-0000-0000-000058490000}"/>
    <cellStyle name="Normal 223 3 4 2 2" xfId="18777" xr:uid="{00000000-0005-0000-0000-000059490000}"/>
    <cellStyle name="Normal 223 3 4 3" xfId="18778" xr:uid="{00000000-0005-0000-0000-00005A490000}"/>
    <cellStyle name="Normal 223 3 5" xfId="18779" xr:uid="{00000000-0005-0000-0000-00005B490000}"/>
    <cellStyle name="Normal 223 4" xfId="18780" xr:uid="{00000000-0005-0000-0000-00005C490000}"/>
    <cellStyle name="Normal 223 4 2" xfId="18781" xr:uid="{00000000-0005-0000-0000-00005D490000}"/>
    <cellStyle name="Normal 223 4 2 2" xfId="18782" xr:uid="{00000000-0005-0000-0000-00005E490000}"/>
    <cellStyle name="Normal 223 4 2 2 2" xfId="18783" xr:uid="{00000000-0005-0000-0000-00005F490000}"/>
    <cellStyle name="Normal 223 4 2 3" xfId="18784" xr:uid="{00000000-0005-0000-0000-000060490000}"/>
    <cellStyle name="Normal 223 4 2 3 2" xfId="18785" xr:uid="{00000000-0005-0000-0000-000061490000}"/>
    <cellStyle name="Normal 223 4 2 3 2 2" xfId="18786" xr:uid="{00000000-0005-0000-0000-000062490000}"/>
    <cellStyle name="Normal 223 4 2 3 3" xfId="18787" xr:uid="{00000000-0005-0000-0000-000063490000}"/>
    <cellStyle name="Normal 223 4 2 4" xfId="18788" xr:uid="{00000000-0005-0000-0000-000064490000}"/>
    <cellStyle name="Normal 223 4 3" xfId="18789" xr:uid="{00000000-0005-0000-0000-000065490000}"/>
    <cellStyle name="Normal 223 4 3 2" xfId="18790" xr:uid="{00000000-0005-0000-0000-000066490000}"/>
    <cellStyle name="Normal 223 4 3 2 2" xfId="18791" xr:uid="{00000000-0005-0000-0000-000067490000}"/>
    <cellStyle name="Normal 223 4 3 3" xfId="18792" xr:uid="{00000000-0005-0000-0000-000068490000}"/>
    <cellStyle name="Normal 223 4 4" xfId="18793" xr:uid="{00000000-0005-0000-0000-000069490000}"/>
    <cellStyle name="Normal 223 4 4 2" xfId="18794" xr:uid="{00000000-0005-0000-0000-00006A490000}"/>
    <cellStyle name="Normal 223 4 4 2 2" xfId="18795" xr:uid="{00000000-0005-0000-0000-00006B490000}"/>
    <cellStyle name="Normal 223 4 4 3" xfId="18796" xr:uid="{00000000-0005-0000-0000-00006C490000}"/>
    <cellStyle name="Normal 223 4 5" xfId="18797" xr:uid="{00000000-0005-0000-0000-00006D490000}"/>
    <cellStyle name="Normal 223 4 5 2" xfId="18798" xr:uid="{00000000-0005-0000-0000-00006E490000}"/>
    <cellStyle name="Normal 223 4 5 2 2" xfId="18799" xr:uid="{00000000-0005-0000-0000-00006F490000}"/>
    <cellStyle name="Normal 223 4 5 3" xfId="18800" xr:uid="{00000000-0005-0000-0000-000070490000}"/>
    <cellStyle name="Normal 223 4 6" xfId="18801" xr:uid="{00000000-0005-0000-0000-000071490000}"/>
    <cellStyle name="Normal 223 5" xfId="18802" xr:uid="{00000000-0005-0000-0000-000072490000}"/>
    <cellStyle name="Normal 223 5 2" xfId="18803" xr:uid="{00000000-0005-0000-0000-000073490000}"/>
    <cellStyle name="Normal 223 5 2 2" xfId="18804" xr:uid="{00000000-0005-0000-0000-000074490000}"/>
    <cellStyle name="Normal 223 5 3" xfId="18805" xr:uid="{00000000-0005-0000-0000-000075490000}"/>
    <cellStyle name="Normal 223 6" xfId="18806" xr:uid="{00000000-0005-0000-0000-000076490000}"/>
    <cellStyle name="Normal 223 6 2" xfId="18807" xr:uid="{00000000-0005-0000-0000-000077490000}"/>
    <cellStyle name="Normal 223 6 2 2" xfId="18808" xr:uid="{00000000-0005-0000-0000-000078490000}"/>
    <cellStyle name="Normal 223 6 3" xfId="18809" xr:uid="{00000000-0005-0000-0000-000079490000}"/>
    <cellStyle name="Normal 223 7" xfId="18810" xr:uid="{00000000-0005-0000-0000-00007A490000}"/>
    <cellStyle name="Normal 223 7 2" xfId="18811" xr:uid="{00000000-0005-0000-0000-00007B490000}"/>
    <cellStyle name="Normal 223 7 2 2" xfId="18812" xr:uid="{00000000-0005-0000-0000-00007C490000}"/>
    <cellStyle name="Normal 223 7 3" xfId="18813" xr:uid="{00000000-0005-0000-0000-00007D490000}"/>
    <cellStyle name="Normal 223 8" xfId="18814" xr:uid="{00000000-0005-0000-0000-00007E490000}"/>
    <cellStyle name="Normal 224" xfId="18815" xr:uid="{00000000-0005-0000-0000-00007F490000}"/>
    <cellStyle name="Normal 224 2" xfId="18816" xr:uid="{00000000-0005-0000-0000-000080490000}"/>
    <cellStyle name="Normal 224 2 2" xfId="18817" xr:uid="{00000000-0005-0000-0000-000081490000}"/>
    <cellStyle name="Normal 224 2 2 2" xfId="18818" xr:uid="{00000000-0005-0000-0000-000082490000}"/>
    <cellStyle name="Normal 224 2 2 2 2" xfId="18819" xr:uid="{00000000-0005-0000-0000-000083490000}"/>
    <cellStyle name="Normal 224 2 2 3" xfId="18820" xr:uid="{00000000-0005-0000-0000-000084490000}"/>
    <cellStyle name="Normal 224 2 2 3 2" xfId="18821" xr:uid="{00000000-0005-0000-0000-000085490000}"/>
    <cellStyle name="Normal 224 2 2 3 2 2" xfId="18822" xr:uid="{00000000-0005-0000-0000-000086490000}"/>
    <cellStyle name="Normal 224 2 2 3 3" xfId="18823" xr:uid="{00000000-0005-0000-0000-000087490000}"/>
    <cellStyle name="Normal 224 2 2 4" xfId="18824" xr:uid="{00000000-0005-0000-0000-000088490000}"/>
    <cellStyle name="Normal 224 2 2 4 2" xfId="18825" xr:uid="{00000000-0005-0000-0000-000089490000}"/>
    <cellStyle name="Normal 224 2 2 4 2 2" xfId="18826" xr:uid="{00000000-0005-0000-0000-00008A490000}"/>
    <cellStyle name="Normal 224 2 2 4 3" xfId="18827" xr:uid="{00000000-0005-0000-0000-00008B490000}"/>
    <cellStyle name="Normal 224 2 2 5" xfId="18828" xr:uid="{00000000-0005-0000-0000-00008C490000}"/>
    <cellStyle name="Normal 224 2 3" xfId="18829" xr:uid="{00000000-0005-0000-0000-00008D490000}"/>
    <cellStyle name="Normal 224 2 3 2" xfId="18830" xr:uid="{00000000-0005-0000-0000-00008E490000}"/>
    <cellStyle name="Normal 224 2 3 2 2" xfId="18831" xr:uid="{00000000-0005-0000-0000-00008F490000}"/>
    <cellStyle name="Normal 224 2 3 2 2 2" xfId="18832" xr:uid="{00000000-0005-0000-0000-000090490000}"/>
    <cellStyle name="Normal 224 2 3 2 3" xfId="18833" xr:uid="{00000000-0005-0000-0000-000091490000}"/>
    <cellStyle name="Normal 224 2 3 2 3 2" xfId="18834" xr:uid="{00000000-0005-0000-0000-000092490000}"/>
    <cellStyle name="Normal 224 2 3 2 3 2 2" xfId="18835" xr:uid="{00000000-0005-0000-0000-000093490000}"/>
    <cellStyle name="Normal 224 2 3 2 3 3" xfId="18836" xr:uid="{00000000-0005-0000-0000-000094490000}"/>
    <cellStyle name="Normal 224 2 3 2 4" xfId="18837" xr:uid="{00000000-0005-0000-0000-000095490000}"/>
    <cellStyle name="Normal 224 2 3 3" xfId="18838" xr:uid="{00000000-0005-0000-0000-000096490000}"/>
    <cellStyle name="Normal 224 2 3 3 2" xfId="18839" xr:uid="{00000000-0005-0000-0000-000097490000}"/>
    <cellStyle name="Normal 224 2 3 3 2 2" xfId="18840" xr:uid="{00000000-0005-0000-0000-000098490000}"/>
    <cellStyle name="Normal 224 2 3 3 3" xfId="18841" xr:uid="{00000000-0005-0000-0000-000099490000}"/>
    <cellStyle name="Normal 224 2 3 4" xfId="18842" xr:uid="{00000000-0005-0000-0000-00009A490000}"/>
    <cellStyle name="Normal 224 2 3 4 2" xfId="18843" xr:uid="{00000000-0005-0000-0000-00009B490000}"/>
    <cellStyle name="Normal 224 2 3 4 2 2" xfId="18844" xr:uid="{00000000-0005-0000-0000-00009C490000}"/>
    <cellStyle name="Normal 224 2 3 4 3" xfId="18845" xr:uid="{00000000-0005-0000-0000-00009D490000}"/>
    <cellStyle name="Normal 224 2 3 5" xfId="18846" xr:uid="{00000000-0005-0000-0000-00009E490000}"/>
    <cellStyle name="Normal 224 2 3 5 2" xfId="18847" xr:uid="{00000000-0005-0000-0000-00009F490000}"/>
    <cellStyle name="Normal 224 2 3 5 2 2" xfId="18848" xr:uid="{00000000-0005-0000-0000-0000A0490000}"/>
    <cellStyle name="Normal 224 2 3 5 3" xfId="18849" xr:uid="{00000000-0005-0000-0000-0000A1490000}"/>
    <cellStyle name="Normal 224 2 3 6" xfId="18850" xr:uid="{00000000-0005-0000-0000-0000A2490000}"/>
    <cellStyle name="Normal 224 2 4" xfId="18851" xr:uid="{00000000-0005-0000-0000-0000A3490000}"/>
    <cellStyle name="Normal 224 2 4 2" xfId="18852" xr:uid="{00000000-0005-0000-0000-0000A4490000}"/>
    <cellStyle name="Normal 224 2 4 2 2" xfId="18853" xr:uid="{00000000-0005-0000-0000-0000A5490000}"/>
    <cellStyle name="Normal 224 2 4 3" xfId="18854" xr:uid="{00000000-0005-0000-0000-0000A6490000}"/>
    <cellStyle name="Normal 224 2 5" xfId="18855" xr:uid="{00000000-0005-0000-0000-0000A7490000}"/>
    <cellStyle name="Normal 224 2 5 2" xfId="18856" xr:uid="{00000000-0005-0000-0000-0000A8490000}"/>
    <cellStyle name="Normal 224 2 5 2 2" xfId="18857" xr:uid="{00000000-0005-0000-0000-0000A9490000}"/>
    <cellStyle name="Normal 224 2 5 3" xfId="18858" xr:uid="{00000000-0005-0000-0000-0000AA490000}"/>
    <cellStyle name="Normal 224 2 6" xfId="18859" xr:uid="{00000000-0005-0000-0000-0000AB490000}"/>
    <cellStyle name="Normal 224 2 6 2" xfId="18860" xr:uid="{00000000-0005-0000-0000-0000AC490000}"/>
    <cellStyle name="Normal 224 2 6 2 2" xfId="18861" xr:uid="{00000000-0005-0000-0000-0000AD490000}"/>
    <cellStyle name="Normal 224 2 6 3" xfId="18862" xr:uid="{00000000-0005-0000-0000-0000AE490000}"/>
    <cellStyle name="Normal 224 2 7" xfId="18863" xr:uid="{00000000-0005-0000-0000-0000AF490000}"/>
    <cellStyle name="Normal 224 3" xfId="18864" xr:uid="{00000000-0005-0000-0000-0000B0490000}"/>
    <cellStyle name="Normal 224 3 2" xfId="18865" xr:uid="{00000000-0005-0000-0000-0000B1490000}"/>
    <cellStyle name="Normal 224 3 2 2" xfId="18866" xr:uid="{00000000-0005-0000-0000-0000B2490000}"/>
    <cellStyle name="Normal 224 3 3" xfId="18867" xr:uid="{00000000-0005-0000-0000-0000B3490000}"/>
    <cellStyle name="Normal 224 3 3 2" xfId="18868" xr:uid="{00000000-0005-0000-0000-0000B4490000}"/>
    <cellStyle name="Normal 224 3 3 2 2" xfId="18869" xr:uid="{00000000-0005-0000-0000-0000B5490000}"/>
    <cellStyle name="Normal 224 3 3 3" xfId="18870" xr:uid="{00000000-0005-0000-0000-0000B6490000}"/>
    <cellStyle name="Normal 224 3 4" xfId="18871" xr:uid="{00000000-0005-0000-0000-0000B7490000}"/>
    <cellStyle name="Normal 224 3 4 2" xfId="18872" xr:uid="{00000000-0005-0000-0000-0000B8490000}"/>
    <cellStyle name="Normal 224 3 4 2 2" xfId="18873" xr:uid="{00000000-0005-0000-0000-0000B9490000}"/>
    <cellStyle name="Normal 224 3 4 3" xfId="18874" xr:uid="{00000000-0005-0000-0000-0000BA490000}"/>
    <cellStyle name="Normal 224 3 5" xfId="18875" xr:uid="{00000000-0005-0000-0000-0000BB490000}"/>
    <cellStyle name="Normal 224 4" xfId="18876" xr:uid="{00000000-0005-0000-0000-0000BC490000}"/>
    <cellStyle name="Normal 224 4 2" xfId="18877" xr:uid="{00000000-0005-0000-0000-0000BD490000}"/>
    <cellStyle name="Normal 224 4 2 2" xfId="18878" xr:uid="{00000000-0005-0000-0000-0000BE490000}"/>
    <cellStyle name="Normal 224 4 2 2 2" xfId="18879" xr:uid="{00000000-0005-0000-0000-0000BF490000}"/>
    <cellStyle name="Normal 224 4 2 3" xfId="18880" xr:uid="{00000000-0005-0000-0000-0000C0490000}"/>
    <cellStyle name="Normal 224 4 2 3 2" xfId="18881" xr:uid="{00000000-0005-0000-0000-0000C1490000}"/>
    <cellStyle name="Normal 224 4 2 3 2 2" xfId="18882" xr:uid="{00000000-0005-0000-0000-0000C2490000}"/>
    <cellStyle name="Normal 224 4 2 3 3" xfId="18883" xr:uid="{00000000-0005-0000-0000-0000C3490000}"/>
    <cellStyle name="Normal 224 4 2 4" xfId="18884" xr:uid="{00000000-0005-0000-0000-0000C4490000}"/>
    <cellStyle name="Normal 224 4 3" xfId="18885" xr:uid="{00000000-0005-0000-0000-0000C5490000}"/>
    <cellStyle name="Normal 224 4 3 2" xfId="18886" xr:uid="{00000000-0005-0000-0000-0000C6490000}"/>
    <cellStyle name="Normal 224 4 3 2 2" xfId="18887" xr:uid="{00000000-0005-0000-0000-0000C7490000}"/>
    <cellStyle name="Normal 224 4 3 3" xfId="18888" xr:uid="{00000000-0005-0000-0000-0000C8490000}"/>
    <cellStyle name="Normal 224 4 4" xfId="18889" xr:uid="{00000000-0005-0000-0000-0000C9490000}"/>
    <cellStyle name="Normal 224 4 4 2" xfId="18890" xr:uid="{00000000-0005-0000-0000-0000CA490000}"/>
    <cellStyle name="Normal 224 4 4 2 2" xfId="18891" xr:uid="{00000000-0005-0000-0000-0000CB490000}"/>
    <cellStyle name="Normal 224 4 4 3" xfId="18892" xr:uid="{00000000-0005-0000-0000-0000CC490000}"/>
    <cellStyle name="Normal 224 4 5" xfId="18893" xr:uid="{00000000-0005-0000-0000-0000CD490000}"/>
    <cellStyle name="Normal 224 4 5 2" xfId="18894" xr:uid="{00000000-0005-0000-0000-0000CE490000}"/>
    <cellStyle name="Normal 224 4 5 2 2" xfId="18895" xr:uid="{00000000-0005-0000-0000-0000CF490000}"/>
    <cellStyle name="Normal 224 4 5 3" xfId="18896" xr:uid="{00000000-0005-0000-0000-0000D0490000}"/>
    <cellStyle name="Normal 224 4 6" xfId="18897" xr:uid="{00000000-0005-0000-0000-0000D1490000}"/>
    <cellStyle name="Normal 224 5" xfId="18898" xr:uid="{00000000-0005-0000-0000-0000D2490000}"/>
    <cellStyle name="Normal 224 5 2" xfId="18899" xr:uid="{00000000-0005-0000-0000-0000D3490000}"/>
    <cellStyle name="Normal 224 5 2 2" xfId="18900" xr:uid="{00000000-0005-0000-0000-0000D4490000}"/>
    <cellStyle name="Normal 224 5 3" xfId="18901" xr:uid="{00000000-0005-0000-0000-0000D5490000}"/>
    <cellStyle name="Normal 224 6" xfId="18902" xr:uid="{00000000-0005-0000-0000-0000D6490000}"/>
    <cellStyle name="Normal 224 6 2" xfId="18903" xr:uid="{00000000-0005-0000-0000-0000D7490000}"/>
    <cellStyle name="Normal 224 6 2 2" xfId="18904" xr:uid="{00000000-0005-0000-0000-0000D8490000}"/>
    <cellStyle name="Normal 224 6 3" xfId="18905" xr:uid="{00000000-0005-0000-0000-0000D9490000}"/>
    <cellStyle name="Normal 224 7" xfId="18906" xr:uid="{00000000-0005-0000-0000-0000DA490000}"/>
    <cellStyle name="Normal 224 7 2" xfId="18907" xr:uid="{00000000-0005-0000-0000-0000DB490000}"/>
    <cellStyle name="Normal 224 7 2 2" xfId="18908" xr:uid="{00000000-0005-0000-0000-0000DC490000}"/>
    <cellStyle name="Normal 224 7 3" xfId="18909" xr:uid="{00000000-0005-0000-0000-0000DD490000}"/>
    <cellStyle name="Normal 224 8" xfId="18910" xr:uid="{00000000-0005-0000-0000-0000DE490000}"/>
    <cellStyle name="Normal 225" xfId="18911" xr:uid="{00000000-0005-0000-0000-0000DF490000}"/>
    <cellStyle name="Normal 225 2" xfId="18912" xr:uid="{00000000-0005-0000-0000-0000E0490000}"/>
    <cellStyle name="Normal 225 2 2" xfId="18913" xr:uid="{00000000-0005-0000-0000-0000E1490000}"/>
    <cellStyle name="Normal 225 2 2 2" xfId="18914" xr:uid="{00000000-0005-0000-0000-0000E2490000}"/>
    <cellStyle name="Normal 225 2 2 2 2" xfId="18915" xr:uid="{00000000-0005-0000-0000-0000E3490000}"/>
    <cellStyle name="Normal 225 2 2 3" xfId="18916" xr:uid="{00000000-0005-0000-0000-0000E4490000}"/>
    <cellStyle name="Normal 225 2 2 3 2" xfId="18917" xr:uid="{00000000-0005-0000-0000-0000E5490000}"/>
    <cellStyle name="Normal 225 2 2 3 2 2" xfId="18918" xr:uid="{00000000-0005-0000-0000-0000E6490000}"/>
    <cellStyle name="Normal 225 2 2 3 3" xfId="18919" xr:uid="{00000000-0005-0000-0000-0000E7490000}"/>
    <cellStyle name="Normal 225 2 2 4" xfId="18920" xr:uid="{00000000-0005-0000-0000-0000E8490000}"/>
    <cellStyle name="Normal 225 2 2 4 2" xfId="18921" xr:uid="{00000000-0005-0000-0000-0000E9490000}"/>
    <cellStyle name="Normal 225 2 2 4 2 2" xfId="18922" xr:uid="{00000000-0005-0000-0000-0000EA490000}"/>
    <cellStyle name="Normal 225 2 2 4 3" xfId="18923" xr:uid="{00000000-0005-0000-0000-0000EB490000}"/>
    <cellStyle name="Normal 225 2 2 5" xfId="18924" xr:uid="{00000000-0005-0000-0000-0000EC490000}"/>
    <cellStyle name="Normal 225 2 3" xfId="18925" xr:uid="{00000000-0005-0000-0000-0000ED490000}"/>
    <cellStyle name="Normal 225 2 3 2" xfId="18926" xr:uid="{00000000-0005-0000-0000-0000EE490000}"/>
    <cellStyle name="Normal 225 2 3 2 2" xfId="18927" xr:uid="{00000000-0005-0000-0000-0000EF490000}"/>
    <cellStyle name="Normal 225 2 3 2 2 2" xfId="18928" xr:uid="{00000000-0005-0000-0000-0000F0490000}"/>
    <cellStyle name="Normal 225 2 3 2 3" xfId="18929" xr:uid="{00000000-0005-0000-0000-0000F1490000}"/>
    <cellStyle name="Normal 225 2 3 2 3 2" xfId="18930" xr:uid="{00000000-0005-0000-0000-0000F2490000}"/>
    <cellStyle name="Normal 225 2 3 2 3 2 2" xfId="18931" xr:uid="{00000000-0005-0000-0000-0000F3490000}"/>
    <cellStyle name="Normal 225 2 3 2 3 3" xfId="18932" xr:uid="{00000000-0005-0000-0000-0000F4490000}"/>
    <cellStyle name="Normal 225 2 3 2 4" xfId="18933" xr:uid="{00000000-0005-0000-0000-0000F5490000}"/>
    <cellStyle name="Normal 225 2 3 3" xfId="18934" xr:uid="{00000000-0005-0000-0000-0000F6490000}"/>
    <cellStyle name="Normal 225 2 3 3 2" xfId="18935" xr:uid="{00000000-0005-0000-0000-0000F7490000}"/>
    <cellStyle name="Normal 225 2 3 3 2 2" xfId="18936" xr:uid="{00000000-0005-0000-0000-0000F8490000}"/>
    <cellStyle name="Normal 225 2 3 3 3" xfId="18937" xr:uid="{00000000-0005-0000-0000-0000F9490000}"/>
    <cellStyle name="Normal 225 2 3 4" xfId="18938" xr:uid="{00000000-0005-0000-0000-0000FA490000}"/>
    <cellStyle name="Normal 225 2 3 4 2" xfId="18939" xr:uid="{00000000-0005-0000-0000-0000FB490000}"/>
    <cellStyle name="Normal 225 2 3 4 2 2" xfId="18940" xr:uid="{00000000-0005-0000-0000-0000FC490000}"/>
    <cellStyle name="Normal 225 2 3 4 3" xfId="18941" xr:uid="{00000000-0005-0000-0000-0000FD490000}"/>
    <cellStyle name="Normal 225 2 3 5" xfId="18942" xr:uid="{00000000-0005-0000-0000-0000FE490000}"/>
    <cellStyle name="Normal 225 2 3 5 2" xfId="18943" xr:uid="{00000000-0005-0000-0000-0000FF490000}"/>
    <cellStyle name="Normal 225 2 3 5 2 2" xfId="18944" xr:uid="{00000000-0005-0000-0000-0000004A0000}"/>
    <cellStyle name="Normal 225 2 3 5 3" xfId="18945" xr:uid="{00000000-0005-0000-0000-0000014A0000}"/>
    <cellStyle name="Normal 225 2 3 6" xfId="18946" xr:uid="{00000000-0005-0000-0000-0000024A0000}"/>
    <cellStyle name="Normal 225 2 4" xfId="18947" xr:uid="{00000000-0005-0000-0000-0000034A0000}"/>
    <cellStyle name="Normal 225 2 4 2" xfId="18948" xr:uid="{00000000-0005-0000-0000-0000044A0000}"/>
    <cellStyle name="Normal 225 2 4 2 2" xfId="18949" xr:uid="{00000000-0005-0000-0000-0000054A0000}"/>
    <cellStyle name="Normal 225 2 4 3" xfId="18950" xr:uid="{00000000-0005-0000-0000-0000064A0000}"/>
    <cellStyle name="Normal 225 2 5" xfId="18951" xr:uid="{00000000-0005-0000-0000-0000074A0000}"/>
    <cellStyle name="Normal 225 2 5 2" xfId="18952" xr:uid="{00000000-0005-0000-0000-0000084A0000}"/>
    <cellStyle name="Normal 225 2 5 2 2" xfId="18953" xr:uid="{00000000-0005-0000-0000-0000094A0000}"/>
    <cellStyle name="Normal 225 2 5 3" xfId="18954" xr:uid="{00000000-0005-0000-0000-00000A4A0000}"/>
    <cellStyle name="Normal 225 2 6" xfId="18955" xr:uid="{00000000-0005-0000-0000-00000B4A0000}"/>
    <cellStyle name="Normal 225 2 6 2" xfId="18956" xr:uid="{00000000-0005-0000-0000-00000C4A0000}"/>
    <cellStyle name="Normal 225 2 6 2 2" xfId="18957" xr:uid="{00000000-0005-0000-0000-00000D4A0000}"/>
    <cellStyle name="Normal 225 2 6 3" xfId="18958" xr:uid="{00000000-0005-0000-0000-00000E4A0000}"/>
    <cellStyle name="Normal 225 2 7" xfId="18959" xr:uid="{00000000-0005-0000-0000-00000F4A0000}"/>
    <cellStyle name="Normal 225 3" xfId="18960" xr:uid="{00000000-0005-0000-0000-0000104A0000}"/>
    <cellStyle name="Normal 225 3 2" xfId="18961" xr:uid="{00000000-0005-0000-0000-0000114A0000}"/>
    <cellStyle name="Normal 225 3 2 2" xfId="18962" xr:uid="{00000000-0005-0000-0000-0000124A0000}"/>
    <cellStyle name="Normal 225 3 3" xfId="18963" xr:uid="{00000000-0005-0000-0000-0000134A0000}"/>
    <cellStyle name="Normal 225 3 3 2" xfId="18964" xr:uid="{00000000-0005-0000-0000-0000144A0000}"/>
    <cellStyle name="Normal 225 3 3 2 2" xfId="18965" xr:uid="{00000000-0005-0000-0000-0000154A0000}"/>
    <cellStyle name="Normal 225 3 3 3" xfId="18966" xr:uid="{00000000-0005-0000-0000-0000164A0000}"/>
    <cellStyle name="Normal 225 3 4" xfId="18967" xr:uid="{00000000-0005-0000-0000-0000174A0000}"/>
    <cellStyle name="Normal 225 3 4 2" xfId="18968" xr:uid="{00000000-0005-0000-0000-0000184A0000}"/>
    <cellStyle name="Normal 225 3 4 2 2" xfId="18969" xr:uid="{00000000-0005-0000-0000-0000194A0000}"/>
    <cellStyle name="Normal 225 3 4 3" xfId="18970" xr:uid="{00000000-0005-0000-0000-00001A4A0000}"/>
    <cellStyle name="Normal 225 3 5" xfId="18971" xr:uid="{00000000-0005-0000-0000-00001B4A0000}"/>
    <cellStyle name="Normal 225 4" xfId="18972" xr:uid="{00000000-0005-0000-0000-00001C4A0000}"/>
    <cellStyle name="Normal 225 4 2" xfId="18973" xr:uid="{00000000-0005-0000-0000-00001D4A0000}"/>
    <cellStyle name="Normal 225 4 2 2" xfId="18974" xr:uid="{00000000-0005-0000-0000-00001E4A0000}"/>
    <cellStyle name="Normal 225 4 2 2 2" xfId="18975" xr:uid="{00000000-0005-0000-0000-00001F4A0000}"/>
    <cellStyle name="Normal 225 4 2 3" xfId="18976" xr:uid="{00000000-0005-0000-0000-0000204A0000}"/>
    <cellStyle name="Normal 225 4 2 3 2" xfId="18977" xr:uid="{00000000-0005-0000-0000-0000214A0000}"/>
    <cellStyle name="Normal 225 4 2 3 2 2" xfId="18978" xr:uid="{00000000-0005-0000-0000-0000224A0000}"/>
    <cellStyle name="Normal 225 4 2 3 3" xfId="18979" xr:uid="{00000000-0005-0000-0000-0000234A0000}"/>
    <cellStyle name="Normal 225 4 2 4" xfId="18980" xr:uid="{00000000-0005-0000-0000-0000244A0000}"/>
    <cellStyle name="Normal 225 4 3" xfId="18981" xr:uid="{00000000-0005-0000-0000-0000254A0000}"/>
    <cellStyle name="Normal 225 4 3 2" xfId="18982" xr:uid="{00000000-0005-0000-0000-0000264A0000}"/>
    <cellStyle name="Normal 225 4 3 2 2" xfId="18983" xr:uid="{00000000-0005-0000-0000-0000274A0000}"/>
    <cellStyle name="Normal 225 4 3 3" xfId="18984" xr:uid="{00000000-0005-0000-0000-0000284A0000}"/>
    <cellStyle name="Normal 225 4 4" xfId="18985" xr:uid="{00000000-0005-0000-0000-0000294A0000}"/>
    <cellStyle name="Normal 225 4 4 2" xfId="18986" xr:uid="{00000000-0005-0000-0000-00002A4A0000}"/>
    <cellStyle name="Normal 225 4 4 2 2" xfId="18987" xr:uid="{00000000-0005-0000-0000-00002B4A0000}"/>
    <cellStyle name="Normal 225 4 4 3" xfId="18988" xr:uid="{00000000-0005-0000-0000-00002C4A0000}"/>
    <cellStyle name="Normal 225 4 5" xfId="18989" xr:uid="{00000000-0005-0000-0000-00002D4A0000}"/>
    <cellStyle name="Normal 225 4 5 2" xfId="18990" xr:uid="{00000000-0005-0000-0000-00002E4A0000}"/>
    <cellStyle name="Normal 225 4 5 2 2" xfId="18991" xr:uid="{00000000-0005-0000-0000-00002F4A0000}"/>
    <cellStyle name="Normal 225 4 5 3" xfId="18992" xr:uid="{00000000-0005-0000-0000-0000304A0000}"/>
    <cellStyle name="Normal 225 4 6" xfId="18993" xr:uid="{00000000-0005-0000-0000-0000314A0000}"/>
    <cellStyle name="Normal 225 5" xfId="18994" xr:uid="{00000000-0005-0000-0000-0000324A0000}"/>
    <cellStyle name="Normal 225 5 2" xfId="18995" xr:uid="{00000000-0005-0000-0000-0000334A0000}"/>
    <cellStyle name="Normal 225 5 2 2" xfId="18996" xr:uid="{00000000-0005-0000-0000-0000344A0000}"/>
    <cellStyle name="Normal 225 5 3" xfId="18997" xr:uid="{00000000-0005-0000-0000-0000354A0000}"/>
    <cellStyle name="Normal 225 6" xfId="18998" xr:uid="{00000000-0005-0000-0000-0000364A0000}"/>
    <cellStyle name="Normal 225 6 2" xfId="18999" xr:uid="{00000000-0005-0000-0000-0000374A0000}"/>
    <cellStyle name="Normal 225 6 2 2" xfId="19000" xr:uid="{00000000-0005-0000-0000-0000384A0000}"/>
    <cellStyle name="Normal 225 6 3" xfId="19001" xr:uid="{00000000-0005-0000-0000-0000394A0000}"/>
    <cellStyle name="Normal 225 7" xfId="19002" xr:uid="{00000000-0005-0000-0000-00003A4A0000}"/>
    <cellStyle name="Normal 225 7 2" xfId="19003" xr:uid="{00000000-0005-0000-0000-00003B4A0000}"/>
    <cellStyle name="Normal 225 7 2 2" xfId="19004" xr:uid="{00000000-0005-0000-0000-00003C4A0000}"/>
    <cellStyle name="Normal 225 7 3" xfId="19005" xr:uid="{00000000-0005-0000-0000-00003D4A0000}"/>
    <cellStyle name="Normal 225 8" xfId="19006" xr:uid="{00000000-0005-0000-0000-00003E4A0000}"/>
    <cellStyle name="Normal 226" xfId="19007" xr:uid="{00000000-0005-0000-0000-00003F4A0000}"/>
    <cellStyle name="Normal 226 2" xfId="19008" xr:uid="{00000000-0005-0000-0000-0000404A0000}"/>
    <cellStyle name="Normal 226 2 2" xfId="19009" xr:uid="{00000000-0005-0000-0000-0000414A0000}"/>
    <cellStyle name="Normal 226 2 2 2" xfId="19010" xr:uid="{00000000-0005-0000-0000-0000424A0000}"/>
    <cellStyle name="Normal 226 2 2 2 2" xfId="19011" xr:uid="{00000000-0005-0000-0000-0000434A0000}"/>
    <cellStyle name="Normal 226 2 2 3" xfId="19012" xr:uid="{00000000-0005-0000-0000-0000444A0000}"/>
    <cellStyle name="Normal 226 2 2 3 2" xfId="19013" xr:uid="{00000000-0005-0000-0000-0000454A0000}"/>
    <cellStyle name="Normal 226 2 2 3 2 2" xfId="19014" xr:uid="{00000000-0005-0000-0000-0000464A0000}"/>
    <cellStyle name="Normal 226 2 2 3 3" xfId="19015" xr:uid="{00000000-0005-0000-0000-0000474A0000}"/>
    <cellStyle name="Normal 226 2 2 4" xfId="19016" xr:uid="{00000000-0005-0000-0000-0000484A0000}"/>
    <cellStyle name="Normal 226 2 2 4 2" xfId="19017" xr:uid="{00000000-0005-0000-0000-0000494A0000}"/>
    <cellStyle name="Normal 226 2 2 4 2 2" xfId="19018" xr:uid="{00000000-0005-0000-0000-00004A4A0000}"/>
    <cellStyle name="Normal 226 2 2 4 3" xfId="19019" xr:uid="{00000000-0005-0000-0000-00004B4A0000}"/>
    <cellStyle name="Normal 226 2 2 5" xfId="19020" xr:uid="{00000000-0005-0000-0000-00004C4A0000}"/>
    <cellStyle name="Normal 226 2 3" xfId="19021" xr:uid="{00000000-0005-0000-0000-00004D4A0000}"/>
    <cellStyle name="Normal 226 2 3 2" xfId="19022" xr:uid="{00000000-0005-0000-0000-00004E4A0000}"/>
    <cellStyle name="Normal 226 2 3 2 2" xfId="19023" xr:uid="{00000000-0005-0000-0000-00004F4A0000}"/>
    <cellStyle name="Normal 226 2 3 2 2 2" xfId="19024" xr:uid="{00000000-0005-0000-0000-0000504A0000}"/>
    <cellStyle name="Normal 226 2 3 2 3" xfId="19025" xr:uid="{00000000-0005-0000-0000-0000514A0000}"/>
    <cellStyle name="Normal 226 2 3 2 3 2" xfId="19026" xr:uid="{00000000-0005-0000-0000-0000524A0000}"/>
    <cellStyle name="Normal 226 2 3 2 3 2 2" xfId="19027" xr:uid="{00000000-0005-0000-0000-0000534A0000}"/>
    <cellStyle name="Normal 226 2 3 2 3 3" xfId="19028" xr:uid="{00000000-0005-0000-0000-0000544A0000}"/>
    <cellStyle name="Normal 226 2 3 2 4" xfId="19029" xr:uid="{00000000-0005-0000-0000-0000554A0000}"/>
    <cellStyle name="Normal 226 2 3 3" xfId="19030" xr:uid="{00000000-0005-0000-0000-0000564A0000}"/>
    <cellStyle name="Normal 226 2 3 3 2" xfId="19031" xr:uid="{00000000-0005-0000-0000-0000574A0000}"/>
    <cellStyle name="Normal 226 2 3 3 2 2" xfId="19032" xr:uid="{00000000-0005-0000-0000-0000584A0000}"/>
    <cellStyle name="Normal 226 2 3 3 3" xfId="19033" xr:uid="{00000000-0005-0000-0000-0000594A0000}"/>
    <cellStyle name="Normal 226 2 3 4" xfId="19034" xr:uid="{00000000-0005-0000-0000-00005A4A0000}"/>
    <cellStyle name="Normal 226 2 3 4 2" xfId="19035" xr:uid="{00000000-0005-0000-0000-00005B4A0000}"/>
    <cellStyle name="Normal 226 2 3 4 2 2" xfId="19036" xr:uid="{00000000-0005-0000-0000-00005C4A0000}"/>
    <cellStyle name="Normal 226 2 3 4 3" xfId="19037" xr:uid="{00000000-0005-0000-0000-00005D4A0000}"/>
    <cellStyle name="Normal 226 2 3 5" xfId="19038" xr:uid="{00000000-0005-0000-0000-00005E4A0000}"/>
    <cellStyle name="Normal 226 2 3 5 2" xfId="19039" xr:uid="{00000000-0005-0000-0000-00005F4A0000}"/>
    <cellStyle name="Normal 226 2 3 5 2 2" xfId="19040" xr:uid="{00000000-0005-0000-0000-0000604A0000}"/>
    <cellStyle name="Normal 226 2 3 5 3" xfId="19041" xr:uid="{00000000-0005-0000-0000-0000614A0000}"/>
    <cellStyle name="Normal 226 2 3 6" xfId="19042" xr:uid="{00000000-0005-0000-0000-0000624A0000}"/>
    <cellStyle name="Normal 226 2 4" xfId="19043" xr:uid="{00000000-0005-0000-0000-0000634A0000}"/>
    <cellStyle name="Normal 226 2 4 2" xfId="19044" xr:uid="{00000000-0005-0000-0000-0000644A0000}"/>
    <cellStyle name="Normal 226 2 4 2 2" xfId="19045" xr:uid="{00000000-0005-0000-0000-0000654A0000}"/>
    <cellStyle name="Normal 226 2 4 3" xfId="19046" xr:uid="{00000000-0005-0000-0000-0000664A0000}"/>
    <cellStyle name="Normal 226 2 5" xfId="19047" xr:uid="{00000000-0005-0000-0000-0000674A0000}"/>
    <cellStyle name="Normal 226 2 5 2" xfId="19048" xr:uid="{00000000-0005-0000-0000-0000684A0000}"/>
    <cellStyle name="Normal 226 2 5 2 2" xfId="19049" xr:uid="{00000000-0005-0000-0000-0000694A0000}"/>
    <cellStyle name="Normal 226 2 5 3" xfId="19050" xr:uid="{00000000-0005-0000-0000-00006A4A0000}"/>
    <cellStyle name="Normal 226 2 6" xfId="19051" xr:uid="{00000000-0005-0000-0000-00006B4A0000}"/>
    <cellStyle name="Normal 226 2 6 2" xfId="19052" xr:uid="{00000000-0005-0000-0000-00006C4A0000}"/>
    <cellStyle name="Normal 226 2 6 2 2" xfId="19053" xr:uid="{00000000-0005-0000-0000-00006D4A0000}"/>
    <cellStyle name="Normal 226 2 6 3" xfId="19054" xr:uid="{00000000-0005-0000-0000-00006E4A0000}"/>
    <cellStyle name="Normal 226 2 7" xfId="19055" xr:uid="{00000000-0005-0000-0000-00006F4A0000}"/>
    <cellStyle name="Normal 226 3" xfId="19056" xr:uid="{00000000-0005-0000-0000-0000704A0000}"/>
    <cellStyle name="Normal 226 3 2" xfId="19057" xr:uid="{00000000-0005-0000-0000-0000714A0000}"/>
    <cellStyle name="Normal 226 3 2 2" xfId="19058" xr:uid="{00000000-0005-0000-0000-0000724A0000}"/>
    <cellStyle name="Normal 226 3 3" xfId="19059" xr:uid="{00000000-0005-0000-0000-0000734A0000}"/>
    <cellStyle name="Normal 226 3 3 2" xfId="19060" xr:uid="{00000000-0005-0000-0000-0000744A0000}"/>
    <cellStyle name="Normal 226 3 3 2 2" xfId="19061" xr:uid="{00000000-0005-0000-0000-0000754A0000}"/>
    <cellStyle name="Normal 226 3 3 3" xfId="19062" xr:uid="{00000000-0005-0000-0000-0000764A0000}"/>
    <cellStyle name="Normal 226 3 4" xfId="19063" xr:uid="{00000000-0005-0000-0000-0000774A0000}"/>
    <cellStyle name="Normal 226 3 4 2" xfId="19064" xr:uid="{00000000-0005-0000-0000-0000784A0000}"/>
    <cellStyle name="Normal 226 3 4 2 2" xfId="19065" xr:uid="{00000000-0005-0000-0000-0000794A0000}"/>
    <cellStyle name="Normal 226 3 4 3" xfId="19066" xr:uid="{00000000-0005-0000-0000-00007A4A0000}"/>
    <cellStyle name="Normal 226 3 5" xfId="19067" xr:uid="{00000000-0005-0000-0000-00007B4A0000}"/>
    <cellStyle name="Normal 226 4" xfId="19068" xr:uid="{00000000-0005-0000-0000-00007C4A0000}"/>
    <cellStyle name="Normal 226 4 2" xfId="19069" xr:uid="{00000000-0005-0000-0000-00007D4A0000}"/>
    <cellStyle name="Normal 226 4 2 2" xfId="19070" xr:uid="{00000000-0005-0000-0000-00007E4A0000}"/>
    <cellStyle name="Normal 226 4 2 2 2" xfId="19071" xr:uid="{00000000-0005-0000-0000-00007F4A0000}"/>
    <cellStyle name="Normal 226 4 2 3" xfId="19072" xr:uid="{00000000-0005-0000-0000-0000804A0000}"/>
    <cellStyle name="Normal 226 4 2 3 2" xfId="19073" xr:uid="{00000000-0005-0000-0000-0000814A0000}"/>
    <cellStyle name="Normal 226 4 2 3 2 2" xfId="19074" xr:uid="{00000000-0005-0000-0000-0000824A0000}"/>
    <cellStyle name="Normal 226 4 2 3 3" xfId="19075" xr:uid="{00000000-0005-0000-0000-0000834A0000}"/>
    <cellStyle name="Normal 226 4 2 4" xfId="19076" xr:uid="{00000000-0005-0000-0000-0000844A0000}"/>
    <cellStyle name="Normal 226 4 3" xfId="19077" xr:uid="{00000000-0005-0000-0000-0000854A0000}"/>
    <cellStyle name="Normal 226 4 3 2" xfId="19078" xr:uid="{00000000-0005-0000-0000-0000864A0000}"/>
    <cellStyle name="Normal 226 4 3 2 2" xfId="19079" xr:uid="{00000000-0005-0000-0000-0000874A0000}"/>
    <cellStyle name="Normal 226 4 3 3" xfId="19080" xr:uid="{00000000-0005-0000-0000-0000884A0000}"/>
    <cellStyle name="Normal 226 4 4" xfId="19081" xr:uid="{00000000-0005-0000-0000-0000894A0000}"/>
    <cellStyle name="Normal 226 4 4 2" xfId="19082" xr:uid="{00000000-0005-0000-0000-00008A4A0000}"/>
    <cellStyle name="Normal 226 4 4 2 2" xfId="19083" xr:uid="{00000000-0005-0000-0000-00008B4A0000}"/>
    <cellStyle name="Normal 226 4 4 3" xfId="19084" xr:uid="{00000000-0005-0000-0000-00008C4A0000}"/>
    <cellStyle name="Normal 226 4 5" xfId="19085" xr:uid="{00000000-0005-0000-0000-00008D4A0000}"/>
    <cellStyle name="Normal 226 4 5 2" xfId="19086" xr:uid="{00000000-0005-0000-0000-00008E4A0000}"/>
    <cellStyle name="Normal 226 4 5 2 2" xfId="19087" xr:uid="{00000000-0005-0000-0000-00008F4A0000}"/>
    <cellStyle name="Normal 226 4 5 3" xfId="19088" xr:uid="{00000000-0005-0000-0000-0000904A0000}"/>
    <cellStyle name="Normal 226 4 6" xfId="19089" xr:uid="{00000000-0005-0000-0000-0000914A0000}"/>
    <cellStyle name="Normal 226 5" xfId="19090" xr:uid="{00000000-0005-0000-0000-0000924A0000}"/>
    <cellStyle name="Normal 226 5 2" xfId="19091" xr:uid="{00000000-0005-0000-0000-0000934A0000}"/>
    <cellStyle name="Normal 226 5 2 2" xfId="19092" xr:uid="{00000000-0005-0000-0000-0000944A0000}"/>
    <cellStyle name="Normal 226 5 3" xfId="19093" xr:uid="{00000000-0005-0000-0000-0000954A0000}"/>
    <cellStyle name="Normal 226 6" xfId="19094" xr:uid="{00000000-0005-0000-0000-0000964A0000}"/>
    <cellStyle name="Normal 226 6 2" xfId="19095" xr:uid="{00000000-0005-0000-0000-0000974A0000}"/>
    <cellStyle name="Normal 226 6 2 2" xfId="19096" xr:uid="{00000000-0005-0000-0000-0000984A0000}"/>
    <cellStyle name="Normal 226 6 3" xfId="19097" xr:uid="{00000000-0005-0000-0000-0000994A0000}"/>
    <cellStyle name="Normal 226 7" xfId="19098" xr:uid="{00000000-0005-0000-0000-00009A4A0000}"/>
    <cellStyle name="Normal 226 7 2" xfId="19099" xr:uid="{00000000-0005-0000-0000-00009B4A0000}"/>
    <cellStyle name="Normal 226 7 2 2" xfId="19100" xr:uid="{00000000-0005-0000-0000-00009C4A0000}"/>
    <cellStyle name="Normal 226 7 3" xfId="19101" xr:uid="{00000000-0005-0000-0000-00009D4A0000}"/>
    <cellStyle name="Normal 226 8" xfId="19102" xr:uid="{00000000-0005-0000-0000-00009E4A0000}"/>
    <cellStyle name="Normal 227" xfId="19103" xr:uid="{00000000-0005-0000-0000-00009F4A0000}"/>
    <cellStyle name="Normal 227 2" xfId="19104" xr:uid="{00000000-0005-0000-0000-0000A04A0000}"/>
    <cellStyle name="Normal 227 2 2" xfId="19105" xr:uid="{00000000-0005-0000-0000-0000A14A0000}"/>
    <cellStyle name="Normal 227 2 2 2" xfId="19106" xr:uid="{00000000-0005-0000-0000-0000A24A0000}"/>
    <cellStyle name="Normal 227 2 2 2 2" xfId="19107" xr:uid="{00000000-0005-0000-0000-0000A34A0000}"/>
    <cellStyle name="Normal 227 2 2 3" xfId="19108" xr:uid="{00000000-0005-0000-0000-0000A44A0000}"/>
    <cellStyle name="Normal 227 2 2 3 2" xfId="19109" xr:uid="{00000000-0005-0000-0000-0000A54A0000}"/>
    <cellStyle name="Normal 227 2 2 3 2 2" xfId="19110" xr:uid="{00000000-0005-0000-0000-0000A64A0000}"/>
    <cellStyle name="Normal 227 2 2 3 3" xfId="19111" xr:uid="{00000000-0005-0000-0000-0000A74A0000}"/>
    <cellStyle name="Normal 227 2 2 4" xfId="19112" xr:uid="{00000000-0005-0000-0000-0000A84A0000}"/>
    <cellStyle name="Normal 227 2 2 4 2" xfId="19113" xr:uid="{00000000-0005-0000-0000-0000A94A0000}"/>
    <cellStyle name="Normal 227 2 2 4 2 2" xfId="19114" xr:uid="{00000000-0005-0000-0000-0000AA4A0000}"/>
    <cellStyle name="Normal 227 2 2 4 3" xfId="19115" xr:uid="{00000000-0005-0000-0000-0000AB4A0000}"/>
    <cellStyle name="Normal 227 2 2 5" xfId="19116" xr:uid="{00000000-0005-0000-0000-0000AC4A0000}"/>
    <cellStyle name="Normal 227 2 3" xfId="19117" xr:uid="{00000000-0005-0000-0000-0000AD4A0000}"/>
    <cellStyle name="Normal 227 2 3 2" xfId="19118" xr:uid="{00000000-0005-0000-0000-0000AE4A0000}"/>
    <cellStyle name="Normal 227 2 3 2 2" xfId="19119" xr:uid="{00000000-0005-0000-0000-0000AF4A0000}"/>
    <cellStyle name="Normal 227 2 3 2 2 2" xfId="19120" xr:uid="{00000000-0005-0000-0000-0000B04A0000}"/>
    <cellStyle name="Normal 227 2 3 2 3" xfId="19121" xr:uid="{00000000-0005-0000-0000-0000B14A0000}"/>
    <cellStyle name="Normal 227 2 3 2 3 2" xfId="19122" xr:uid="{00000000-0005-0000-0000-0000B24A0000}"/>
    <cellStyle name="Normal 227 2 3 2 3 2 2" xfId="19123" xr:uid="{00000000-0005-0000-0000-0000B34A0000}"/>
    <cellStyle name="Normal 227 2 3 2 3 3" xfId="19124" xr:uid="{00000000-0005-0000-0000-0000B44A0000}"/>
    <cellStyle name="Normal 227 2 3 2 4" xfId="19125" xr:uid="{00000000-0005-0000-0000-0000B54A0000}"/>
    <cellStyle name="Normal 227 2 3 3" xfId="19126" xr:uid="{00000000-0005-0000-0000-0000B64A0000}"/>
    <cellStyle name="Normal 227 2 3 3 2" xfId="19127" xr:uid="{00000000-0005-0000-0000-0000B74A0000}"/>
    <cellStyle name="Normal 227 2 3 3 2 2" xfId="19128" xr:uid="{00000000-0005-0000-0000-0000B84A0000}"/>
    <cellStyle name="Normal 227 2 3 3 3" xfId="19129" xr:uid="{00000000-0005-0000-0000-0000B94A0000}"/>
    <cellStyle name="Normal 227 2 3 4" xfId="19130" xr:uid="{00000000-0005-0000-0000-0000BA4A0000}"/>
    <cellStyle name="Normal 227 2 3 4 2" xfId="19131" xr:uid="{00000000-0005-0000-0000-0000BB4A0000}"/>
    <cellStyle name="Normal 227 2 3 4 2 2" xfId="19132" xr:uid="{00000000-0005-0000-0000-0000BC4A0000}"/>
    <cellStyle name="Normal 227 2 3 4 3" xfId="19133" xr:uid="{00000000-0005-0000-0000-0000BD4A0000}"/>
    <cellStyle name="Normal 227 2 3 5" xfId="19134" xr:uid="{00000000-0005-0000-0000-0000BE4A0000}"/>
    <cellStyle name="Normal 227 2 3 5 2" xfId="19135" xr:uid="{00000000-0005-0000-0000-0000BF4A0000}"/>
    <cellStyle name="Normal 227 2 3 5 2 2" xfId="19136" xr:uid="{00000000-0005-0000-0000-0000C04A0000}"/>
    <cellStyle name="Normal 227 2 3 5 3" xfId="19137" xr:uid="{00000000-0005-0000-0000-0000C14A0000}"/>
    <cellStyle name="Normal 227 2 3 6" xfId="19138" xr:uid="{00000000-0005-0000-0000-0000C24A0000}"/>
    <cellStyle name="Normal 227 2 4" xfId="19139" xr:uid="{00000000-0005-0000-0000-0000C34A0000}"/>
    <cellStyle name="Normal 227 2 4 2" xfId="19140" xr:uid="{00000000-0005-0000-0000-0000C44A0000}"/>
    <cellStyle name="Normal 227 2 4 2 2" xfId="19141" xr:uid="{00000000-0005-0000-0000-0000C54A0000}"/>
    <cellStyle name="Normal 227 2 4 3" xfId="19142" xr:uid="{00000000-0005-0000-0000-0000C64A0000}"/>
    <cellStyle name="Normal 227 2 5" xfId="19143" xr:uid="{00000000-0005-0000-0000-0000C74A0000}"/>
    <cellStyle name="Normal 227 2 5 2" xfId="19144" xr:uid="{00000000-0005-0000-0000-0000C84A0000}"/>
    <cellStyle name="Normal 227 2 5 2 2" xfId="19145" xr:uid="{00000000-0005-0000-0000-0000C94A0000}"/>
    <cellStyle name="Normal 227 2 5 3" xfId="19146" xr:uid="{00000000-0005-0000-0000-0000CA4A0000}"/>
    <cellStyle name="Normal 227 2 6" xfId="19147" xr:uid="{00000000-0005-0000-0000-0000CB4A0000}"/>
    <cellStyle name="Normal 227 2 6 2" xfId="19148" xr:uid="{00000000-0005-0000-0000-0000CC4A0000}"/>
    <cellStyle name="Normal 227 2 6 2 2" xfId="19149" xr:uid="{00000000-0005-0000-0000-0000CD4A0000}"/>
    <cellStyle name="Normal 227 2 6 3" xfId="19150" xr:uid="{00000000-0005-0000-0000-0000CE4A0000}"/>
    <cellStyle name="Normal 227 2 7" xfId="19151" xr:uid="{00000000-0005-0000-0000-0000CF4A0000}"/>
    <cellStyle name="Normal 227 3" xfId="19152" xr:uid="{00000000-0005-0000-0000-0000D04A0000}"/>
    <cellStyle name="Normal 227 3 2" xfId="19153" xr:uid="{00000000-0005-0000-0000-0000D14A0000}"/>
    <cellStyle name="Normal 227 3 2 2" xfId="19154" xr:uid="{00000000-0005-0000-0000-0000D24A0000}"/>
    <cellStyle name="Normal 227 3 3" xfId="19155" xr:uid="{00000000-0005-0000-0000-0000D34A0000}"/>
    <cellStyle name="Normal 227 3 3 2" xfId="19156" xr:uid="{00000000-0005-0000-0000-0000D44A0000}"/>
    <cellStyle name="Normal 227 3 3 2 2" xfId="19157" xr:uid="{00000000-0005-0000-0000-0000D54A0000}"/>
    <cellStyle name="Normal 227 3 3 3" xfId="19158" xr:uid="{00000000-0005-0000-0000-0000D64A0000}"/>
    <cellStyle name="Normal 227 3 4" xfId="19159" xr:uid="{00000000-0005-0000-0000-0000D74A0000}"/>
    <cellStyle name="Normal 227 3 4 2" xfId="19160" xr:uid="{00000000-0005-0000-0000-0000D84A0000}"/>
    <cellStyle name="Normal 227 3 4 2 2" xfId="19161" xr:uid="{00000000-0005-0000-0000-0000D94A0000}"/>
    <cellStyle name="Normal 227 3 4 3" xfId="19162" xr:uid="{00000000-0005-0000-0000-0000DA4A0000}"/>
    <cellStyle name="Normal 227 3 5" xfId="19163" xr:uid="{00000000-0005-0000-0000-0000DB4A0000}"/>
    <cellStyle name="Normal 227 4" xfId="19164" xr:uid="{00000000-0005-0000-0000-0000DC4A0000}"/>
    <cellStyle name="Normal 227 4 2" xfId="19165" xr:uid="{00000000-0005-0000-0000-0000DD4A0000}"/>
    <cellStyle name="Normal 227 4 2 2" xfId="19166" xr:uid="{00000000-0005-0000-0000-0000DE4A0000}"/>
    <cellStyle name="Normal 227 4 2 2 2" xfId="19167" xr:uid="{00000000-0005-0000-0000-0000DF4A0000}"/>
    <cellStyle name="Normal 227 4 2 3" xfId="19168" xr:uid="{00000000-0005-0000-0000-0000E04A0000}"/>
    <cellStyle name="Normal 227 4 2 3 2" xfId="19169" xr:uid="{00000000-0005-0000-0000-0000E14A0000}"/>
    <cellStyle name="Normal 227 4 2 3 2 2" xfId="19170" xr:uid="{00000000-0005-0000-0000-0000E24A0000}"/>
    <cellStyle name="Normal 227 4 2 3 3" xfId="19171" xr:uid="{00000000-0005-0000-0000-0000E34A0000}"/>
    <cellStyle name="Normal 227 4 2 4" xfId="19172" xr:uid="{00000000-0005-0000-0000-0000E44A0000}"/>
    <cellStyle name="Normal 227 4 3" xfId="19173" xr:uid="{00000000-0005-0000-0000-0000E54A0000}"/>
    <cellStyle name="Normal 227 4 3 2" xfId="19174" xr:uid="{00000000-0005-0000-0000-0000E64A0000}"/>
    <cellStyle name="Normal 227 4 3 2 2" xfId="19175" xr:uid="{00000000-0005-0000-0000-0000E74A0000}"/>
    <cellStyle name="Normal 227 4 3 3" xfId="19176" xr:uid="{00000000-0005-0000-0000-0000E84A0000}"/>
    <cellStyle name="Normal 227 4 4" xfId="19177" xr:uid="{00000000-0005-0000-0000-0000E94A0000}"/>
    <cellStyle name="Normal 227 4 4 2" xfId="19178" xr:uid="{00000000-0005-0000-0000-0000EA4A0000}"/>
    <cellStyle name="Normal 227 4 4 2 2" xfId="19179" xr:uid="{00000000-0005-0000-0000-0000EB4A0000}"/>
    <cellStyle name="Normal 227 4 4 3" xfId="19180" xr:uid="{00000000-0005-0000-0000-0000EC4A0000}"/>
    <cellStyle name="Normal 227 4 5" xfId="19181" xr:uid="{00000000-0005-0000-0000-0000ED4A0000}"/>
    <cellStyle name="Normal 227 4 5 2" xfId="19182" xr:uid="{00000000-0005-0000-0000-0000EE4A0000}"/>
    <cellStyle name="Normal 227 4 5 2 2" xfId="19183" xr:uid="{00000000-0005-0000-0000-0000EF4A0000}"/>
    <cellStyle name="Normal 227 4 5 3" xfId="19184" xr:uid="{00000000-0005-0000-0000-0000F04A0000}"/>
    <cellStyle name="Normal 227 4 6" xfId="19185" xr:uid="{00000000-0005-0000-0000-0000F14A0000}"/>
    <cellStyle name="Normal 227 5" xfId="19186" xr:uid="{00000000-0005-0000-0000-0000F24A0000}"/>
    <cellStyle name="Normal 227 5 2" xfId="19187" xr:uid="{00000000-0005-0000-0000-0000F34A0000}"/>
    <cellStyle name="Normal 227 5 2 2" xfId="19188" xr:uid="{00000000-0005-0000-0000-0000F44A0000}"/>
    <cellStyle name="Normal 227 5 3" xfId="19189" xr:uid="{00000000-0005-0000-0000-0000F54A0000}"/>
    <cellStyle name="Normal 227 6" xfId="19190" xr:uid="{00000000-0005-0000-0000-0000F64A0000}"/>
    <cellStyle name="Normal 227 6 2" xfId="19191" xr:uid="{00000000-0005-0000-0000-0000F74A0000}"/>
    <cellStyle name="Normal 227 6 2 2" xfId="19192" xr:uid="{00000000-0005-0000-0000-0000F84A0000}"/>
    <cellStyle name="Normal 227 6 3" xfId="19193" xr:uid="{00000000-0005-0000-0000-0000F94A0000}"/>
    <cellStyle name="Normal 227 7" xfId="19194" xr:uid="{00000000-0005-0000-0000-0000FA4A0000}"/>
    <cellStyle name="Normal 227 7 2" xfId="19195" xr:uid="{00000000-0005-0000-0000-0000FB4A0000}"/>
    <cellStyle name="Normal 227 7 2 2" xfId="19196" xr:uid="{00000000-0005-0000-0000-0000FC4A0000}"/>
    <cellStyle name="Normal 227 7 3" xfId="19197" xr:uid="{00000000-0005-0000-0000-0000FD4A0000}"/>
    <cellStyle name="Normal 227 8" xfId="19198" xr:uid="{00000000-0005-0000-0000-0000FE4A0000}"/>
    <cellStyle name="Normal 228" xfId="19199" xr:uid="{00000000-0005-0000-0000-0000FF4A0000}"/>
    <cellStyle name="Normal 228 2" xfId="19200" xr:uid="{00000000-0005-0000-0000-0000004B0000}"/>
    <cellStyle name="Normal 228 2 2" xfId="19201" xr:uid="{00000000-0005-0000-0000-0000014B0000}"/>
    <cellStyle name="Normal 228 2 2 2" xfId="19202" xr:uid="{00000000-0005-0000-0000-0000024B0000}"/>
    <cellStyle name="Normal 228 2 2 2 2" xfId="19203" xr:uid="{00000000-0005-0000-0000-0000034B0000}"/>
    <cellStyle name="Normal 228 2 2 3" xfId="19204" xr:uid="{00000000-0005-0000-0000-0000044B0000}"/>
    <cellStyle name="Normal 228 2 2 3 2" xfId="19205" xr:uid="{00000000-0005-0000-0000-0000054B0000}"/>
    <cellStyle name="Normal 228 2 2 3 2 2" xfId="19206" xr:uid="{00000000-0005-0000-0000-0000064B0000}"/>
    <cellStyle name="Normal 228 2 2 3 3" xfId="19207" xr:uid="{00000000-0005-0000-0000-0000074B0000}"/>
    <cellStyle name="Normal 228 2 2 4" xfId="19208" xr:uid="{00000000-0005-0000-0000-0000084B0000}"/>
    <cellStyle name="Normal 228 2 2 4 2" xfId="19209" xr:uid="{00000000-0005-0000-0000-0000094B0000}"/>
    <cellStyle name="Normal 228 2 2 4 2 2" xfId="19210" xr:uid="{00000000-0005-0000-0000-00000A4B0000}"/>
    <cellStyle name="Normal 228 2 2 4 3" xfId="19211" xr:uid="{00000000-0005-0000-0000-00000B4B0000}"/>
    <cellStyle name="Normal 228 2 2 5" xfId="19212" xr:uid="{00000000-0005-0000-0000-00000C4B0000}"/>
    <cellStyle name="Normal 228 2 3" xfId="19213" xr:uid="{00000000-0005-0000-0000-00000D4B0000}"/>
    <cellStyle name="Normal 228 2 3 2" xfId="19214" xr:uid="{00000000-0005-0000-0000-00000E4B0000}"/>
    <cellStyle name="Normal 228 2 3 2 2" xfId="19215" xr:uid="{00000000-0005-0000-0000-00000F4B0000}"/>
    <cellStyle name="Normal 228 2 3 2 2 2" xfId="19216" xr:uid="{00000000-0005-0000-0000-0000104B0000}"/>
    <cellStyle name="Normal 228 2 3 2 3" xfId="19217" xr:uid="{00000000-0005-0000-0000-0000114B0000}"/>
    <cellStyle name="Normal 228 2 3 2 3 2" xfId="19218" xr:uid="{00000000-0005-0000-0000-0000124B0000}"/>
    <cellStyle name="Normal 228 2 3 2 3 2 2" xfId="19219" xr:uid="{00000000-0005-0000-0000-0000134B0000}"/>
    <cellStyle name="Normal 228 2 3 2 3 3" xfId="19220" xr:uid="{00000000-0005-0000-0000-0000144B0000}"/>
    <cellStyle name="Normal 228 2 3 2 4" xfId="19221" xr:uid="{00000000-0005-0000-0000-0000154B0000}"/>
    <cellStyle name="Normal 228 2 3 3" xfId="19222" xr:uid="{00000000-0005-0000-0000-0000164B0000}"/>
    <cellStyle name="Normal 228 2 3 3 2" xfId="19223" xr:uid="{00000000-0005-0000-0000-0000174B0000}"/>
    <cellStyle name="Normal 228 2 3 3 2 2" xfId="19224" xr:uid="{00000000-0005-0000-0000-0000184B0000}"/>
    <cellStyle name="Normal 228 2 3 3 3" xfId="19225" xr:uid="{00000000-0005-0000-0000-0000194B0000}"/>
    <cellStyle name="Normal 228 2 3 4" xfId="19226" xr:uid="{00000000-0005-0000-0000-00001A4B0000}"/>
    <cellStyle name="Normal 228 2 3 4 2" xfId="19227" xr:uid="{00000000-0005-0000-0000-00001B4B0000}"/>
    <cellStyle name="Normal 228 2 3 4 2 2" xfId="19228" xr:uid="{00000000-0005-0000-0000-00001C4B0000}"/>
    <cellStyle name="Normal 228 2 3 4 3" xfId="19229" xr:uid="{00000000-0005-0000-0000-00001D4B0000}"/>
    <cellStyle name="Normal 228 2 3 5" xfId="19230" xr:uid="{00000000-0005-0000-0000-00001E4B0000}"/>
    <cellStyle name="Normal 228 2 3 5 2" xfId="19231" xr:uid="{00000000-0005-0000-0000-00001F4B0000}"/>
    <cellStyle name="Normal 228 2 3 5 2 2" xfId="19232" xr:uid="{00000000-0005-0000-0000-0000204B0000}"/>
    <cellStyle name="Normal 228 2 3 5 3" xfId="19233" xr:uid="{00000000-0005-0000-0000-0000214B0000}"/>
    <cellStyle name="Normal 228 2 3 6" xfId="19234" xr:uid="{00000000-0005-0000-0000-0000224B0000}"/>
    <cellStyle name="Normal 228 2 4" xfId="19235" xr:uid="{00000000-0005-0000-0000-0000234B0000}"/>
    <cellStyle name="Normal 228 2 4 2" xfId="19236" xr:uid="{00000000-0005-0000-0000-0000244B0000}"/>
    <cellStyle name="Normal 228 2 4 2 2" xfId="19237" xr:uid="{00000000-0005-0000-0000-0000254B0000}"/>
    <cellStyle name="Normal 228 2 4 3" xfId="19238" xr:uid="{00000000-0005-0000-0000-0000264B0000}"/>
    <cellStyle name="Normal 228 2 5" xfId="19239" xr:uid="{00000000-0005-0000-0000-0000274B0000}"/>
    <cellStyle name="Normal 228 2 5 2" xfId="19240" xr:uid="{00000000-0005-0000-0000-0000284B0000}"/>
    <cellStyle name="Normal 228 2 5 2 2" xfId="19241" xr:uid="{00000000-0005-0000-0000-0000294B0000}"/>
    <cellStyle name="Normal 228 2 5 3" xfId="19242" xr:uid="{00000000-0005-0000-0000-00002A4B0000}"/>
    <cellStyle name="Normal 228 2 6" xfId="19243" xr:uid="{00000000-0005-0000-0000-00002B4B0000}"/>
    <cellStyle name="Normal 228 2 6 2" xfId="19244" xr:uid="{00000000-0005-0000-0000-00002C4B0000}"/>
    <cellStyle name="Normal 228 2 6 2 2" xfId="19245" xr:uid="{00000000-0005-0000-0000-00002D4B0000}"/>
    <cellStyle name="Normal 228 2 6 3" xfId="19246" xr:uid="{00000000-0005-0000-0000-00002E4B0000}"/>
    <cellStyle name="Normal 228 2 7" xfId="19247" xr:uid="{00000000-0005-0000-0000-00002F4B0000}"/>
    <cellStyle name="Normal 228 3" xfId="19248" xr:uid="{00000000-0005-0000-0000-0000304B0000}"/>
    <cellStyle name="Normal 228 3 2" xfId="19249" xr:uid="{00000000-0005-0000-0000-0000314B0000}"/>
    <cellStyle name="Normal 228 3 2 2" xfId="19250" xr:uid="{00000000-0005-0000-0000-0000324B0000}"/>
    <cellStyle name="Normal 228 3 3" xfId="19251" xr:uid="{00000000-0005-0000-0000-0000334B0000}"/>
    <cellStyle name="Normal 228 3 3 2" xfId="19252" xr:uid="{00000000-0005-0000-0000-0000344B0000}"/>
    <cellStyle name="Normal 228 3 3 2 2" xfId="19253" xr:uid="{00000000-0005-0000-0000-0000354B0000}"/>
    <cellStyle name="Normal 228 3 3 3" xfId="19254" xr:uid="{00000000-0005-0000-0000-0000364B0000}"/>
    <cellStyle name="Normal 228 3 4" xfId="19255" xr:uid="{00000000-0005-0000-0000-0000374B0000}"/>
    <cellStyle name="Normal 228 3 4 2" xfId="19256" xr:uid="{00000000-0005-0000-0000-0000384B0000}"/>
    <cellStyle name="Normal 228 3 4 2 2" xfId="19257" xr:uid="{00000000-0005-0000-0000-0000394B0000}"/>
    <cellStyle name="Normal 228 3 4 3" xfId="19258" xr:uid="{00000000-0005-0000-0000-00003A4B0000}"/>
    <cellStyle name="Normal 228 3 5" xfId="19259" xr:uid="{00000000-0005-0000-0000-00003B4B0000}"/>
    <cellStyle name="Normal 228 4" xfId="19260" xr:uid="{00000000-0005-0000-0000-00003C4B0000}"/>
    <cellStyle name="Normal 228 4 2" xfId="19261" xr:uid="{00000000-0005-0000-0000-00003D4B0000}"/>
    <cellStyle name="Normal 228 4 2 2" xfId="19262" xr:uid="{00000000-0005-0000-0000-00003E4B0000}"/>
    <cellStyle name="Normal 228 4 2 2 2" xfId="19263" xr:uid="{00000000-0005-0000-0000-00003F4B0000}"/>
    <cellStyle name="Normal 228 4 2 3" xfId="19264" xr:uid="{00000000-0005-0000-0000-0000404B0000}"/>
    <cellStyle name="Normal 228 4 2 3 2" xfId="19265" xr:uid="{00000000-0005-0000-0000-0000414B0000}"/>
    <cellStyle name="Normal 228 4 2 3 2 2" xfId="19266" xr:uid="{00000000-0005-0000-0000-0000424B0000}"/>
    <cellStyle name="Normal 228 4 2 3 3" xfId="19267" xr:uid="{00000000-0005-0000-0000-0000434B0000}"/>
    <cellStyle name="Normal 228 4 2 4" xfId="19268" xr:uid="{00000000-0005-0000-0000-0000444B0000}"/>
    <cellStyle name="Normal 228 4 3" xfId="19269" xr:uid="{00000000-0005-0000-0000-0000454B0000}"/>
    <cellStyle name="Normal 228 4 3 2" xfId="19270" xr:uid="{00000000-0005-0000-0000-0000464B0000}"/>
    <cellStyle name="Normal 228 4 3 2 2" xfId="19271" xr:uid="{00000000-0005-0000-0000-0000474B0000}"/>
    <cellStyle name="Normal 228 4 3 3" xfId="19272" xr:uid="{00000000-0005-0000-0000-0000484B0000}"/>
    <cellStyle name="Normal 228 4 4" xfId="19273" xr:uid="{00000000-0005-0000-0000-0000494B0000}"/>
    <cellStyle name="Normal 228 4 4 2" xfId="19274" xr:uid="{00000000-0005-0000-0000-00004A4B0000}"/>
    <cellStyle name="Normal 228 4 4 2 2" xfId="19275" xr:uid="{00000000-0005-0000-0000-00004B4B0000}"/>
    <cellStyle name="Normal 228 4 4 3" xfId="19276" xr:uid="{00000000-0005-0000-0000-00004C4B0000}"/>
    <cellStyle name="Normal 228 4 5" xfId="19277" xr:uid="{00000000-0005-0000-0000-00004D4B0000}"/>
    <cellStyle name="Normal 228 4 5 2" xfId="19278" xr:uid="{00000000-0005-0000-0000-00004E4B0000}"/>
    <cellStyle name="Normal 228 4 5 2 2" xfId="19279" xr:uid="{00000000-0005-0000-0000-00004F4B0000}"/>
    <cellStyle name="Normal 228 4 5 3" xfId="19280" xr:uid="{00000000-0005-0000-0000-0000504B0000}"/>
    <cellStyle name="Normal 228 4 6" xfId="19281" xr:uid="{00000000-0005-0000-0000-0000514B0000}"/>
    <cellStyle name="Normal 228 5" xfId="19282" xr:uid="{00000000-0005-0000-0000-0000524B0000}"/>
    <cellStyle name="Normal 228 5 2" xfId="19283" xr:uid="{00000000-0005-0000-0000-0000534B0000}"/>
    <cellStyle name="Normal 228 5 2 2" xfId="19284" xr:uid="{00000000-0005-0000-0000-0000544B0000}"/>
    <cellStyle name="Normal 228 5 3" xfId="19285" xr:uid="{00000000-0005-0000-0000-0000554B0000}"/>
    <cellStyle name="Normal 228 6" xfId="19286" xr:uid="{00000000-0005-0000-0000-0000564B0000}"/>
    <cellStyle name="Normal 228 6 2" xfId="19287" xr:uid="{00000000-0005-0000-0000-0000574B0000}"/>
    <cellStyle name="Normal 228 6 2 2" xfId="19288" xr:uid="{00000000-0005-0000-0000-0000584B0000}"/>
    <cellStyle name="Normal 228 6 3" xfId="19289" xr:uid="{00000000-0005-0000-0000-0000594B0000}"/>
    <cellStyle name="Normal 228 7" xfId="19290" xr:uid="{00000000-0005-0000-0000-00005A4B0000}"/>
    <cellStyle name="Normal 228 7 2" xfId="19291" xr:uid="{00000000-0005-0000-0000-00005B4B0000}"/>
    <cellStyle name="Normal 228 7 2 2" xfId="19292" xr:uid="{00000000-0005-0000-0000-00005C4B0000}"/>
    <cellStyle name="Normal 228 7 3" xfId="19293" xr:uid="{00000000-0005-0000-0000-00005D4B0000}"/>
    <cellStyle name="Normal 228 8" xfId="19294" xr:uid="{00000000-0005-0000-0000-00005E4B0000}"/>
    <cellStyle name="Normal 229" xfId="19295" xr:uid="{00000000-0005-0000-0000-00005F4B0000}"/>
    <cellStyle name="Normal 229 2" xfId="19296" xr:uid="{00000000-0005-0000-0000-0000604B0000}"/>
    <cellStyle name="Normal 229 2 2" xfId="19297" xr:uid="{00000000-0005-0000-0000-0000614B0000}"/>
    <cellStyle name="Normal 229 2 2 2" xfId="19298" xr:uid="{00000000-0005-0000-0000-0000624B0000}"/>
    <cellStyle name="Normal 229 2 2 2 2" xfId="19299" xr:uid="{00000000-0005-0000-0000-0000634B0000}"/>
    <cellStyle name="Normal 229 2 2 3" xfId="19300" xr:uid="{00000000-0005-0000-0000-0000644B0000}"/>
    <cellStyle name="Normal 229 2 2 3 2" xfId="19301" xr:uid="{00000000-0005-0000-0000-0000654B0000}"/>
    <cellStyle name="Normal 229 2 2 3 2 2" xfId="19302" xr:uid="{00000000-0005-0000-0000-0000664B0000}"/>
    <cellStyle name="Normal 229 2 2 3 3" xfId="19303" xr:uid="{00000000-0005-0000-0000-0000674B0000}"/>
    <cellStyle name="Normal 229 2 2 4" xfId="19304" xr:uid="{00000000-0005-0000-0000-0000684B0000}"/>
    <cellStyle name="Normal 229 2 2 4 2" xfId="19305" xr:uid="{00000000-0005-0000-0000-0000694B0000}"/>
    <cellStyle name="Normal 229 2 2 4 2 2" xfId="19306" xr:uid="{00000000-0005-0000-0000-00006A4B0000}"/>
    <cellStyle name="Normal 229 2 2 4 3" xfId="19307" xr:uid="{00000000-0005-0000-0000-00006B4B0000}"/>
    <cellStyle name="Normal 229 2 2 5" xfId="19308" xr:uid="{00000000-0005-0000-0000-00006C4B0000}"/>
    <cellStyle name="Normal 229 2 3" xfId="19309" xr:uid="{00000000-0005-0000-0000-00006D4B0000}"/>
    <cellStyle name="Normal 229 2 3 2" xfId="19310" xr:uid="{00000000-0005-0000-0000-00006E4B0000}"/>
    <cellStyle name="Normal 229 2 3 2 2" xfId="19311" xr:uid="{00000000-0005-0000-0000-00006F4B0000}"/>
    <cellStyle name="Normal 229 2 3 2 2 2" xfId="19312" xr:uid="{00000000-0005-0000-0000-0000704B0000}"/>
    <cellStyle name="Normal 229 2 3 2 3" xfId="19313" xr:uid="{00000000-0005-0000-0000-0000714B0000}"/>
    <cellStyle name="Normal 229 2 3 2 3 2" xfId="19314" xr:uid="{00000000-0005-0000-0000-0000724B0000}"/>
    <cellStyle name="Normal 229 2 3 2 3 2 2" xfId="19315" xr:uid="{00000000-0005-0000-0000-0000734B0000}"/>
    <cellStyle name="Normal 229 2 3 2 3 3" xfId="19316" xr:uid="{00000000-0005-0000-0000-0000744B0000}"/>
    <cellStyle name="Normal 229 2 3 2 4" xfId="19317" xr:uid="{00000000-0005-0000-0000-0000754B0000}"/>
    <cellStyle name="Normal 229 2 3 3" xfId="19318" xr:uid="{00000000-0005-0000-0000-0000764B0000}"/>
    <cellStyle name="Normal 229 2 3 3 2" xfId="19319" xr:uid="{00000000-0005-0000-0000-0000774B0000}"/>
    <cellStyle name="Normal 229 2 3 3 2 2" xfId="19320" xr:uid="{00000000-0005-0000-0000-0000784B0000}"/>
    <cellStyle name="Normal 229 2 3 3 3" xfId="19321" xr:uid="{00000000-0005-0000-0000-0000794B0000}"/>
    <cellStyle name="Normal 229 2 3 4" xfId="19322" xr:uid="{00000000-0005-0000-0000-00007A4B0000}"/>
    <cellStyle name="Normal 229 2 3 4 2" xfId="19323" xr:uid="{00000000-0005-0000-0000-00007B4B0000}"/>
    <cellStyle name="Normal 229 2 3 4 2 2" xfId="19324" xr:uid="{00000000-0005-0000-0000-00007C4B0000}"/>
    <cellStyle name="Normal 229 2 3 4 3" xfId="19325" xr:uid="{00000000-0005-0000-0000-00007D4B0000}"/>
    <cellStyle name="Normal 229 2 3 5" xfId="19326" xr:uid="{00000000-0005-0000-0000-00007E4B0000}"/>
    <cellStyle name="Normal 229 2 3 5 2" xfId="19327" xr:uid="{00000000-0005-0000-0000-00007F4B0000}"/>
    <cellStyle name="Normal 229 2 3 5 2 2" xfId="19328" xr:uid="{00000000-0005-0000-0000-0000804B0000}"/>
    <cellStyle name="Normal 229 2 3 5 3" xfId="19329" xr:uid="{00000000-0005-0000-0000-0000814B0000}"/>
    <cellStyle name="Normal 229 2 3 6" xfId="19330" xr:uid="{00000000-0005-0000-0000-0000824B0000}"/>
    <cellStyle name="Normal 229 2 4" xfId="19331" xr:uid="{00000000-0005-0000-0000-0000834B0000}"/>
    <cellStyle name="Normal 229 2 4 2" xfId="19332" xr:uid="{00000000-0005-0000-0000-0000844B0000}"/>
    <cellStyle name="Normal 229 2 4 2 2" xfId="19333" xr:uid="{00000000-0005-0000-0000-0000854B0000}"/>
    <cellStyle name="Normal 229 2 4 3" xfId="19334" xr:uid="{00000000-0005-0000-0000-0000864B0000}"/>
    <cellStyle name="Normal 229 2 5" xfId="19335" xr:uid="{00000000-0005-0000-0000-0000874B0000}"/>
    <cellStyle name="Normal 229 2 5 2" xfId="19336" xr:uid="{00000000-0005-0000-0000-0000884B0000}"/>
    <cellStyle name="Normal 229 2 5 2 2" xfId="19337" xr:uid="{00000000-0005-0000-0000-0000894B0000}"/>
    <cellStyle name="Normal 229 2 5 3" xfId="19338" xr:uid="{00000000-0005-0000-0000-00008A4B0000}"/>
    <cellStyle name="Normal 229 2 6" xfId="19339" xr:uid="{00000000-0005-0000-0000-00008B4B0000}"/>
    <cellStyle name="Normal 229 2 6 2" xfId="19340" xr:uid="{00000000-0005-0000-0000-00008C4B0000}"/>
    <cellStyle name="Normal 229 2 6 2 2" xfId="19341" xr:uid="{00000000-0005-0000-0000-00008D4B0000}"/>
    <cellStyle name="Normal 229 2 6 3" xfId="19342" xr:uid="{00000000-0005-0000-0000-00008E4B0000}"/>
    <cellStyle name="Normal 229 2 7" xfId="19343" xr:uid="{00000000-0005-0000-0000-00008F4B0000}"/>
    <cellStyle name="Normal 229 3" xfId="19344" xr:uid="{00000000-0005-0000-0000-0000904B0000}"/>
    <cellStyle name="Normal 229 3 2" xfId="19345" xr:uid="{00000000-0005-0000-0000-0000914B0000}"/>
    <cellStyle name="Normal 229 3 2 2" xfId="19346" xr:uid="{00000000-0005-0000-0000-0000924B0000}"/>
    <cellStyle name="Normal 229 3 3" xfId="19347" xr:uid="{00000000-0005-0000-0000-0000934B0000}"/>
    <cellStyle name="Normal 229 3 3 2" xfId="19348" xr:uid="{00000000-0005-0000-0000-0000944B0000}"/>
    <cellStyle name="Normal 229 3 3 2 2" xfId="19349" xr:uid="{00000000-0005-0000-0000-0000954B0000}"/>
    <cellStyle name="Normal 229 3 3 3" xfId="19350" xr:uid="{00000000-0005-0000-0000-0000964B0000}"/>
    <cellStyle name="Normal 229 3 4" xfId="19351" xr:uid="{00000000-0005-0000-0000-0000974B0000}"/>
    <cellStyle name="Normal 229 3 4 2" xfId="19352" xr:uid="{00000000-0005-0000-0000-0000984B0000}"/>
    <cellStyle name="Normal 229 3 4 2 2" xfId="19353" xr:uid="{00000000-0005-0000-0000-0000994B0000}"/>
    <cellStyle name="Normal 229 3 4 3" xfId="19354" xr:uid="{00000000-0005-0000-0000-00009A4B0000}"/>
    <cellStyle name="Normal 229 3 5" xfId="19355" xr:uid="{00000000-0005-0000-0000-00009B4B0000}"/>
    <cellStyle name="Normal 229 4" xfId="19356" xr:uid="{00000000-0005-0000-0000-00009C4B0000}"/>
    <cellStyle name="Normal 229 4 2" xfId="19357" xr:uid="{00000000-0005-0000-0000-00009D4B0000}"/>
    <cellStyle name="Normal 229 4 2 2" xfId="19358" xr:uid="{00000000-0005-0000-0000-00009E4B0000}"/>
    <cellStyle name="Normal 229 4 2 2 2" xfId="19359" xr:uid="{00000000-0005-0000-0000-00009F4B0000}"/>
    <cellStyle name="Normal 229 4 2 3" xfId="19360" xr:uid="{00000000-0005-0000-0000-0000A04B0000}"/>
    <cellStyle name="Normal 229 4 2 3 2" xfId="19361" xr:uid="{00000000-0005-0000-0000-0000A14B0000}"/>
    <cellStyle name="Normal 229 4 2 3 2 2" xfId="19362" xr:uid="{00000000-0005-0000-0000-0000A24B0000}"/>
    <cellStyle name="Normal 229 4 2 3 3" xfId="19363" xr:uid="{00000000-0005-0000-0000-0000A34B0000}"/>
    <cellStyle name="Normal 229 4 2 4" xfId="19364" xr:uid="{00000000-0005-0000-0000-0000A44B0000}"/>
    <cellStyle name="Normal 229 4 3" xfId="19365" xr:uid="{00000000-0005-0000-0000-0000A54B0000}"/>
    <cellStyle name="Normal 229 4 3 2" xfId="19366" xr:uid="{00000000-0005-0000-0000-0000A64B0000}"/>
    <cellStyle name="Normal 229 4 3 2 2" xfId="19367" xr:uid="{00000000-0005-0000-0000-0000A74B0000}"/>
    <cellStyle name="Normal 229 4 3 3" xfId="19368" xr:uid="{00000000-0005-0000-0000-0000A84B0000}"/>
    <cellStyle name="Normal 229 4 4" xfId="19369" xr:uid="{00000000-0005-0000-0000-0000A94B0000}"/>
    <cellStyle name="Normal 229 4 4 2" xfId="19370" xr:uid="{00000000-0005-0000-0000-0000AA4B0000}"/>
    <cellStyle name="Normal 229 4 4 2 2" xfId="19371" xr:uid="{00000000-0005-0000-0000-0000AB4B0000}"/>
    <cellStyle name="Normal 229 4 4 3" xfId="19372" xr:uid="{00000000-0005-0000-0000-0000AC4B0000}"/>
    <cellStyle name="Normal 229 4 5" xfId="19373" xr:uid="{00000000-0005-0000-0000-0000AD4B0000}"/>
    <cellStyle name="Normal 229 4 5 2" xfId="19374" xr:uid="{00000000-0005-0000-0000-0000AE4B0000}"/>
    <cellStyle name="Normal 229 4 5 2 2" xfId="19375" xr:uid="{00000000-0005-0000-0000-0000AF4B0000}"/>
    <cellStyle name="Normal 229 4 5 3" xfId="19376" xr:uid="{00000000-0005-0000-0000-0000B04B0000}"/>
    <cellStyle name="Normal 229 4 6" xfId="19377" xr:uid="{00000000-0005-0000-0000-0000B14B0000}"/>
    <cellStyle name="Normal 229 5" xfId="19378" xr:uid="{00000000-0005-0000-0000-0000B24B0000}"/>
    <cellStyle name="Normal 229 5 2" xfId="19379" xr:uid="{00000000-0005-0000-0000-0000B34B0000}"/>
    <cellStyle name="Normal 229 5 2 2" xfId="19380" xr:uid="{00000000-0005-0000-0000-0000B44B0000}"/>
    <cellStyle name="Normal 229 5 3" xfId="19381" xr:uid="{00000000-0005-0000-0000-0000B54B0000}"/>
    <cellStyle name="Normal 229 6" xfId="19382" xr:uid="{00000000-0005-0000-0000-0000B64B0000}"/>
    <cellStyle name="Normal 229 6 2" xfId="19383" xr:uid="{00000000-0005-0000-0000-0000B74B0000}"/>
    <cellStyle name="Normal 229 6 2 2" xfId="19384" xr:uid="{00000000-0005-0000-0000-0000B84B0000}"/>
    <cellStyle name="Normal 229 6 3" xfId="19385" xr:uid="{00000000-0005-0000-0000-0000B94B0000}"/>
    <cellStyle name="Normal 229 7" xfId="19386" xr:uid="{00000000-0005-0000-0000-0000BA4B0000}"/>
    <cellStyle name="Normal 229 7 2" xfId="19387" xr:uid="{00000000-0005-0000-0000-0000BB4B0000}"/>
    <cellStyle name="Normal 229 7 2 2" xfId="19388" xr:uid="{00000000-0005-0000-0000-0000BC4B0000}"/>
    <cellStyle name="Normal 229 7 3" xfId="19389" xr:uid="{00000000-0005-0000-0000-0000BD4B0000}"/>
    <cellStyle name="Normal 229 8" xfId="19390" xr:uid="{00000000-0005-0000-0000-0000BE4B0000}"/>
    <cellStyle name="Normal 23" xfId="19391" xr:uid="{00000000-0005-0000-0000-0000BF4B0000}"/>
    <cellStyle name="Normal 23 2" xfId="19392" xr:uid="{00000000-0005-0000-0000-0000C04B0000}"/>
    <cellStyle name="Normal 23 2 2" xfId="19393" xr:uid="{00000000-0005-0000-0000-0000C14B0000}"/>
    <cellStyle name="Normal 23 2 2 2" xfId="19394" xr:uid="{00000000-0005-0000-0000-0000C24B0000}"/>
    <cellStyle name="Normal 23 2 2 2 2" xfId="19395" xr:uid="{00000000-0005-0000-0000-0000C34B0000}"/>
    <cellStyle name="Normal 23 2 2 3" xfId="19396" xr:uid="{00000000-0005-0000-0000-0000C44B0000}"/>
    <cellStyle name="Normal 23 2 2 3 2" xfId="19397" xr:uid="{00000000-0005-0000-0000-0000C54B0000}"/>
    <cellStyle name="Normal 23 2 2 3 2 2" xfId="19398" xr:uid="{00000000-0005-0000-0000-0000C64B0000}"/>
    <cellStyle name="Normal 23 2 2 3 3" xfId="19399" xr:uid="{00000000-0005-0000-0000-0000C74B0000}"/>
    <cellStyle name="Normal 23 2 2 4" xfId="19400" xr:uid="{00000000-0005-0000-0000-0000C84B0000}"/>
    <cellStyle name="Normal 23 2 2 4 2" xfId="19401" xr:uid="{00000000-0005-0000-0000-0000C94B0000}"/>
    <cellStyle name="Normal 23 2 2 4 2 2" xfId="19402" xr:uid="{00000000-0005-0000-0000-0000CA4B0000}"/>
    <cellStyle name="Normal 23 2 2 4 3" xfId="19403" xr:uid="{00000000-0005-0000-0000-0000CB4B0000}"/>
    <cellStyle name="Normal 23 2 2 5" xfId="19404" xr:uid="{00000000-0005-0000-0000-0000CC4B0000}"/>
    <cellStyle name="Normal 23 2 3" xfId="19405" xr:uid="{00000000-0005-0000-0000-0000CD4B0000}"/>
    <cellStyle name="Normal 23 2 3 2" xfId="19406" xr:uid="{00000000-0005-0000-0000-0000CE4B0000}"/>
    <cellStyle name="Normal 23 2 3 2 2" xfId="19407" xr:uid="{00000000-0005-0000-0000-0000CF4B0000}"/>
    <cellStyle name="Normal 23 2 3 3" xfId="19408" xr:uid="{00000000-0005-0000-0000-0000D04B0000}"/>
    <cellStyle name="Normal 23 2 4" xfId="19409" xr:uid="{00000000-0005-0000-0000-0000D14B0000}"/>
    <cellStyle name="Normal 23 2 4 2" xfId="19410" xr:uid="{00000000-0005-0000-0000-0000D24B0000}"/>
    <cellStyle name="Normal 23 2 4 2 2" xfId="19411" xr:uid="{00000000-0005-0000-0000-0000D34B0000}"/>
    <cellStyle name="Normal 23 2 4 3" xfId="19412" xr:uid="{00000000-0005-0000-0000-0000D44B0000}"/>
    <cellStyle name="Normal 23 2 5" xfId="19413" xr:uid="{00000000-0005-0000-0000-0000D54B0000}"/>
    <cellStyle name="Normal 23 2 5 2" xfId="19414" xr:uid="{00000000-0005-0000-0000-0000D64B0000}"/>
    <cellStyle name="Normal 23 2 5 2 2" xfId="19415" xr:uid="{00000000-0005-0000-0000-0000D74B0000}"/>
    <cellStyle name="Normal 23 2 5 3" xfId="19416" xr:uid="{00000000-0005-0000-0000-0000D84B0000}"/>
    <cellStyle name="Normal 23 2 6" xfId="19417" xr:uid="{00000000-0005-0000-0000-0000D94B0000}"/>
    <cellStyle name="Normal 23 3" xfId="19418" xr:uid="{00000000-0005-0000-0000-0000DA4B0000}"/>
    <cellStyle name="Normal 23 3 2" xfId="19419" xr:uid="{00000000-0005-0000-0000-0000DB4B0000}"/>
    <cellStyle name="Normal 23 3 2 2" xfId="19420" xr:uid="{00000000-0005-0000-0000-0000DC4B0000}"/>
    <cellStyle name="Normal 23 3 3" xfId="19421" xr:uid="{00000000-0005-0000-0000-0000DD4B0000}"/>
    <cellStyle name="Normal 23 3 3 2" xfId="19422" xr:uid="{00000000-0005-0000-0000-0000DE4B0000}"/>
    <cellStyle name="Normal 23 3 3 2 2" xfId="19423" xr:uid="{00000000-0005-0000-0000-0000DF4B0000}"/>
    <cellStyle name="Normal 23 3 3 3" xfId="19424" xr:uid="{00000000-0005-0000-0000-0000E04B0000}"/>
    <cellStyle name="Normal 23 3 4" xfId="19425" xr:uid="{00000000-0005-0000-0000-0000E14B0000}"/>
    <cellStyle name="Normal 23 3 4 2" xfId="19426" xr:uid="{00000000-0005-0000-0000-0000E24B0000}"/>
    <cellStyle name="Normal 23 3 4 2 2" xfId="19427" xr:uid="{00000000-0005-0000-0000-0000E34B0000}"/>
    <cellStyle name="Normal 23 3 4 3" xfId="19428" xr:uid="{00000000-0005-0000-0000-0000E44B0000}"/>
    <cellStyle name="Normal 23 3 5" xfId="19429" xr:uid="{00000000-0005-0000-0000-0000E54B0000}"/>
    <cellStyle name="Normal 23 4" xfId="19430" xr:uid="{00000000-0005-0000-0000-0000E64B0000}"/>
    <cellStyle name="Normal 23 4 2" xfId="19431" xr:uid="{00000000-0005-0000-0000-0000E74B0000}"/>
    <cellStyle name="Normal 23 4 2 2" xfId="19432" xr:uid="{00000000-0005-0000-0000-0000E84B0000}"/>
    <cellStyle name="Normal 23 4 2 2 2" xfId="19433" xr:uid="{00000000-0005-0000-0000-0000E94B0000}"/>
    <cellStyle name="Normal 23 4 2 3" xfId="19434" xr:uid="{00000000-0005-0000-0000-0000EA4B0000}"/>
    <cellStyle name="Normal 23 4 2 3 2" xfId="19435" xr:uid="{00000000-0005-0000-0000-0000EB4B0000}"/>
    <cellStyle name="Normal 23 4 2 3 2 2" xfId="19436" xr:uid="{00000000-0005-0000-0000-0000EC4B0000}"/>
    <cellStyle name="Normal 23 4 2 3 3" xfId="19437" xr:uid="{00000000-0005-0000-0000-0000ED4B0000}"/>
    <cellStyle name="Normal 23 4 2 4" xfId="19438" xr:uid="{00000000-0005-0000-0000-0000EE4B0000}"/>
    <cellStyle name="Normal 23 4 3" xfId="19439" xr:uid="{00000000-0005-0000-0000-0000EF4B0000}"/>
    <cellStyle name="Normal 23 4 3 2" xfId="19440" xr:uid="{00000000-0005-0000-0000-0000F04B0000}"/>
    <cellStyle name="Normal 23 4 3 2 2" xfId="19441" xr:uid="{00000000-0005-0000-0000-0000F14B0000}"/>
    <cellStyle name="Normal 23 4 3 3" xfId="19442" xr:uid="{00000000-0005-0000-0000-0000F24B0000}"/>
    <cellStyle name="Normal 23 4 4" xfId="19443" xr:uid="{00000000-0005-0000-0000-0000F34B0000}"/>
    <cellStyle name="Normal 23 4 4 2" xfId="19444" xr:uid="{00000000-0005-0000-0000-0000F44B0000}"/>
    <cellStyle name="Normal 23 4 4 2 2" xfId="19445" xr:uid="{00000000-0005-0000-0000-0000F54B0000}"/>
    <cellStyle name="Normal 23 4 4 3" xfId="19446" xr:uid="{00000000-0005-0000-0000-0000F64B0000}"/>
    <cellStyle name="Normal 23 4 5" xfId="19447" xr:uid="{00000000-0005-0000-0000-0000F74B0000}"/>
    <cellStyle name="Normal 23 4 5 2" xfId="19448" xr:uid="{00000000-0005-0000-0000-0000F84B0000}"/>
    <cellStyle name="Normal 23 4 5 2 2" xfId="19449" xr:uid="{00000000-0005-0000-0000-0000F94B0000}"/>
    <cellStyle name="Normal 23 4 5 3" xfId="19450" xr:uid="{00000000-0005-0000-0000-0000FA4B0000}"/>
    <cellStyle name="Normal 23 4 6" xfId="19451" xr:uid="{00000000-0005-0000-0000-0000FB4B0000}"/>
    <cellStyle name="Normal 23 5" xfId="19452" xr:uid="{00000000-0005-0000-0000-0000FC4B0000}"/>
    <cellStyle name="Normal 230" xfId="19453" xr:uid="{00000000-0005-0000-0000-0000FD4B0000}"/>
    <cellStyle name="Normal 230 2" xfId="19454" xr:uid="{00000000-0005-0000-0000-0000FE4B0000}"/>
    <cellStyle name="Normal 230 2 2" xfId="19455" xr:uid="{00000000-0005-0000-0000-0000FF4B0000}"/>
    <cellStyle name="Normal 230 2 2 2" xfId="19456" xr:uid="{00000000-0005-0000-0000-0000004C0000}"/>
    <cellStyle name="Normal 230 2 2 2 2" xfId="19457" xr:uid="{00000000-0005-0000-0000-0000014C0000}"/>
    <cellStyle name="Normal 230 2 2 3" xfId="19458" xr:uid="{00000000-0005-0000-0000-0000024C0000}"/>
    <cellStyle name="Normal 230 2 2 3 2" xfId="19459" xr:uid="{00000000-0005-0000-0000-0000034C0000}"/>
    <cellStyle name="Normal 230 2 2 3 2 2" xfId="19460" xr:uid="{00000000-0005-0000-0000-0000044C0000}"/>
    <cellStyle name="Normal 230 2 2 3 3" xfId="19461" xr:uid="{00000000-0005-0000-0000-0000054C0000}"/>
    <cellStyle name="Normal 230 2 2 4" xfId="19462" xr:uid="{00000000-0005-0000-0000-0000064C0000}"/>
    <cellStyle name="Normal 230 2 2 4 2" xfId="19463" xr:uid="{00000000-0005-0000-0000-0000074C0000}"/>
    <cellStyle name="Normal 230 2 2 4 2 2" xfId="19464" xr:uid="{00000000-0005-0000-0000-0000084C0000}"/>
    <cellStyle name="Normal 230 2 2 4 3" xfId="19465" xr:uid="{00000000-0005-0000-0000-0000094C0000}"/>
    <cellStyle name="Normal 230 2 2 5" xfId="19466" xr:uid="{00000000-0005-0000-0000-00000A4C0000}"/>
    <cellStyle name="Normal 230 2 3" xfId="19467" xr:uid="{00000000-0005-0000-0000-00000B4C0000}"/>
    <cellStyle name="Normal 230 2 3 2" xfId="19468" xr:uid="{00000000-0005-0000-0000-00000C4C0000}"/>
    <cellStyle name="Normal 230 2 3 2 2" xfId="19469" xr:uid="{00000000-0005-0000-0000-00000D4C0000}"/>
    <cellStyle name="Normal 230 2 3 2 2 2" xfId="19470" xr:uid="{00000000-0005-0000-0000-00000E4C0000}"/>
    <cellStyle name="Normal 230 2 3 2 3" xfId="19471" xr:uid="{00000000-0005-0000-0000-00000F4C0000}"/>
    <cellStyle name="Normal 230 2 3 2 3 2" xfId="19472" xr:uid="{00000000-0005-0000-0000-0000104C0000}"/>
    <cellStyle name="Normal 230 2 3 2 3 2 2" xfId="19473" xr:uid="{00000000-0005-0000-0000-0000114C0000}"/>
    <cellStyle name="Normal 230 2 3 2 3 3" xfId="19474" xr:uid="{00000000-0005-0000-0000-0000124C0000}"/>
    <cellStyle name="Normal 230 2 3 2 4" xfId="19475" xr:uid="{00000000-0005-0000-0000-0000134C0000}"/>
    <cellStyle name="Normal 230 2 3 3" xfId="19476" xr:uid="{00000000-0005-0000-0000-0000144C0000}"/>
    <cellStyle name="Normal 230 2 3 3 2" xfId="19477" xr:uid="{00000000-0005-0000-0000-0000154C0000}"/>
    <cellStyle name="Normal 230 2 3 3 2 2" xfId="19478" xr:uid="{00000000-0005-0000-0000-0000164C0000}"/>
    <cellStyle name="Normal 230 2 3 3 3" xfId="19479" xr:uid="{00000000-0005-0000-0000-0000174C0000}"/>
    <cellStyle name="Normal 230 2 3 4" xfId="19480" xr:uid="{00000000-0005-0000-0000-0000184C0000}"/>
    <cellStyle name="Normal 230 2 3 4 2" xfId="19481" xr:uid="{00000000-0005-0000-0000-0000194C0000}"/>
    <cellStyle name="Normal 230 2 3 4 2 2" xfId="19482" xr:uid="{00000000-0005-0000-0000-00001A4C0000}"/>
    <cellStyle name="Normal 230 2 3 4 3" xfId="19483" xr:uid="{00000000-0005-0000-0000-00001B4C0000}"/>
    <cellStyle name="Normal 230 2 3 5" xfId="19484" xr:uid="{00000000-0005-0000-0000-00001C4C0000}"/>
    <cellStyle name="Normal 230 2 3 5 2" xfId="19485" xr:uid="{00000000-0005-0000-0000-00001D4C0000}"/>
    <cellStyle name="Normal 230 2 3 5 2 2" xfId="19486" xr:uid="{00000000-0005-0000-0000-00001E4C0000}"/>
    <cellStyle name="Normal 230 2 3 5 3" xfId="19487" xr:uid="{00000000-0005-0000-0000-00001F4C0000}"/>
    <cellStyle name="Normal 230 2 3 6" xfId="19488" xr:uid="{00000000-0005-0000-0000-0000204C0000}"/>
    <cellStyle name="Normal 230 2 4" xfId="19489" xr:uid="{00000000-0005-0000-0000-0000214C0000}"/>
    <cellStyle name="Normal 230 2 4 2" xfId="19490" xr:uid="{00000000-0005-0000-0000-0000224C0000}"/>
    <cellStyle name="Normal 230 2 4 2 2" xfId="19491" xr:uid="{00000000-0005-0000-0000-0000234C0000}"/>
    <cellStyle name="Normal 230 2 4 3" xfId="19492" xr:uid="{00000000-0005-0000-0000-0000244C0000}"/>
    <cellStyle name="Normal 230 2 5" xfId="19493" xr:uid="{00000000-0005-0000-0000-0000254C0000}"/>
    <cellStyle name="Normal 230 2 5 2" xfId="19494" xr:uid="{00000000-0005-0000-0000-0000264C0000}"/>
    <cellStyle name="Normal 230 2 5 2 2" xfId="19495" xr:uid="{00000000-0005-0000-0000-0000274C0000}"/>
    <cellStyle name="Normal 230 2 5 3" xfId="19496" xr:uid="{00000000-0005-0000-0000-0000284C0000}"/>
    <cellStyle name="Normal 230 2 6" xfId="19497" xr:uid="{00000000-0005-0000-0000-0000294C0000}"/>
    <cellStyle name="Normal 230 2 6 2" xfId="19498" xr:uid="{00000000-0005-0000-0000-00002A4C0000}"/>
    <cellStyle name="Normal 230 2 6 2 2" xfId="19499" xr:uid="{00000000-0005-0000-0000-00002B4C0000}"/>
    <cellStyle name="Normal 230 2 6 3" xfId="19500" xr:uid="{00000000-0005-0000-0000-00002C4C0000}"/>
    <cellStyle name="Normal 230 2 7" xfId="19501" xr:uid="{00000000-0005-0000-0000-00002D4C0000}"/>
    <cellStyle name="Normal 230 3" xfId="19502" xr:uid="{00000000-0005-0000-0000-00002E4C0000}"/>
    <cellStyle name="Normal 230 3 2" xfId="19503" xr:uid="{00000000-0005-0000-0000-00002F4C0000}"/>
    <cellStyle name="Normal 230 3 2 2" xfId="19504" xr:uid="{00000000-0005-0000-0000-0000304C0000}"/>
    <cellStyle name="Normal 230 3 3" xfId="19505" xr:uid="{00000000-0005-0000-0000-0000314C0000}"/>
    <cellStyle name="Normal 230 3 3 2" xfId="19506" xr:uid="{00000000-0005-0000-0000-0000324C0000}"/>
    <cellStyle name="Normal 230 3 3 2 2" xfId="19507" xr:uid="{00000000-0005-0000-0000-0000334C0000}"/>
    <cellStyle name="Normal 230 3 3 3" xfId="19508" xr:uid="{00000000-0005-0000-0000-0000344C0000}"/>
    <cellStyle name="Normal 230 3 4" xfId="19509" xr:uid="{00000000-0005-0000-0000-0000354C0000}"/>
    <cellStyle name="Normal 230 3 4 2" xfId="19510" xr:uid="{00000000-0005-0000-0000-0000364C0000}"/>
    <cellStyle name="Normal 230 3 4 2 2" xfId="19511" xr:uid="{00000000-0005-0000-0000-0000374C0000}"/>
    <cellStyle name="Normal 230 3 4 3" xfId="19512" xr:uid="{00000000-0005-0000-0000-0000384C0000}"/>
    <cellStyle name="Normal 230 3 5" xfId="19513" xr:uid="{00000000-0005-0000-0000-0000394C0000}"/>
    <cellStyle name="Normal 230 4" xfId="19514" xr:uid="{00000000-0005-0000-0000-00003A4C0000}"/>
    <cellStyle name="Normal 230 4 2" xfId="19515" xr:uid="{00000000-0005-0000-0000-00003B4C0000}"/>
    <cellStyle name="Normal 230 4 2 2" xfId="19516" xr:uid="{00000000-0005-0000-0000-00003C4C0000}"/>
    <cellStyle name="Normal 230 4 2 2 2" xfId="19517" xr:uid="{00000000-0005-0000-0000-00003D4C0000}"/>
    <cellStyle name="Normal 230 4 2 3" xfId="19518" xr:uid="{00000000-0005-0000-0000-00003E4C0000}"/>
    <cellStyle name="Normal 230 4 2 3 2" xfId="19519" xr:uid="{00000000-0005-0000-0000-00003F4C0000}"/>
    <cellStyle name="Normal 230 4 2 3 2 2" xfId="19520" xr:uid="{00000000-0005-0000-0000-0000404C0000}"/>
    <cellStyle name="Normal 230 4 2 3 3" xfId="19521" xr:uid="{00000000-0005-0000-0000-0000414C0000}"/>
    <cellStyle name="Normal 230 4 2 4" xfId="19522" xr:uid="{00000000-0005-0000-0000-0000424C0000}"/>
    <cellStyle name="Normal 230 4 3" xfId="19523" xr:uid="{00000000-0005-0000-0000-0000434C0000}"/>
    <cellStyle name="Normal 230 4 3 2" xfId="19524" xr:uid="{00000000-0005-0000-0000-0000444C0000}"/>
    <cellStyle name="Normal 230 4 3 2 2" xfId="19525" xr:uid="{00000000-0005-0000-0000-0000454C0000}"/>
    <cellStyle name="Normal 230 4 3 3" xfId="19526" xr:uid="{00000000-0005-0000-0000-0000464C0000}"/>
    <cellStyle name="Normal 230 4 4" xfId="19527" xr:uid="{00000000-0005-0000-0000-0000474C0000}"/>
    <cellStyle name="Normal 230 4 4 2" xfId="19528" xr:uid="{00000000-0005-0000-0000-0000484C0000}"/>
    <cellStyle name="Normal 230 4 4 2 2" xfId="19529" xr:uid="{00000000-0005-0000-0000-0000494C0000}"/>
    <cellStyle name="Normal 230 4 4 3" xfId="19530" xr:uid="{00000000-0005-0000-0000-00004A4C0000}"/>
    <cellStyle name="Normal 230 4 5" xfId="19531" xr:uid="{00000000-0005-0000-0000-00004B4C0000}"/>
    <cellStyle name="Normal 230 4 5 2" xfId="19532" xr:uid="{00000000-0005-0000-0000-00004C4C0000}"/>
    <cellStyle name="Normal 230 4 5 2 2" xfId="19533" xr:uid="{00000000-0005-0000-0000-00004D4C0000}"/>
    <cellStyle name="Normal 230 4 5 3" xfId="19534" xr:uid="{00000000-0005-0000-0000-00004E4C0000}"/>
    <cellStyle name="Normal 230 4 6" xfId="19535" xr:uid="{00000000-0005-0000-0000-00004F4C0000}"/>
    <cellStyle name="Normal 230 5" xfId="19536" xr:uid="{00000000-0005-0000-0000-0000504C0000}"/>
    <cellStyle name="Normal 230 5 2" xfId="19537" xr:uid="{00000000-0005-0000-0000-0000514C0000}"/>
    <cellStyle name="Normal 230 5 2 2" xfId="19538" xr:uid="{00000000-0005-0000-0000-0000524C0000}"/>
    <cellStyle name="Normal 230 5 3" xfId="19539" xr:uid="{00000000-0005-0000-0000-0000534C0000}"/>
    <cellStyle name="Normal 230 6" xfId="19540" xr:uid="{00000000-0005-0000-0000-0000544C0000}"/>
    <cellStyle name="Normal 230 6 2" xfId="19541" xr:uid="{00000000-0005-0000-0000-0000554C0000}"/>
    <cellStyle name="Normal 230 6 2 2" xfId="19542" xr:uid="{00000000-0005-0000-0000-0000564C0000}"/>
    <cellStyle name="Normal 230 6 3" xfId="19543" xr:uid="{00000000-0005-0000-0000-0000574C0000}"/>
    <cellStyle name="Normal 230 7" xfId="19544" xr:uid="{00000000-0005-0000-0000-0000584C0000}"/>
    <cellStyle name="Normal 230 7 2" xfId="19545" xr:uid="{00000000-0005-0000-0000-0000594C0000}"/>
    <cellStyle name="Normal 230 7 2 2" xfId="19546" xr:uid="{00000000-0005-0000-0000-00005A4C0000}"/>
    <cellStyle name="Normal 230 7 3" xfId="19547" xr:uid="{00000000-0005-0000-0000-00005B4C0000}"/>
    <cellStyle name="Normal 230 8" xfId="19548" xr:uid="{00000000-0005-0000-0000-00005C4C0000}"/>
    <cellStyle name="Normal 231" xfId="19549" xr:uid="{00000000-0005-0000-0000-00005D4C0000}"/>
    <cellStyle name="Normal 231 2" xfId="19550" xr:uid="{00000000-0005-0000-0000-00005E4C0000}"/>
    <cellStyle name="Normal 231 2 2" xfId="19551" xr:uid="{00000000-0005-0000-0000-00005F4C0000}"/>
    <cellStyle name="Normal 231 2 2 2" xfId="19552" xr:uid="{00000000-0005-0000-0000-0000604C0000}"/>
    <cellStyle name="Normal 231 2 2 2 2" xfId="19553" xr:uid="{00000000-0005-0000-0000-0000614C0000}"/>
    <cellStyle name="Normal 231 2 2 3" xfId="19554" xr:uid="{00000000-0005-0000-0000-0000624C0000}"/>
    <cellStyle name="Normal 231 2 2 3 2" xfId="19555" xr:uid="{00000000-0005-0000-0000-0000634C0000}"/>
    <cellStyle name="Normal 231 2 2 3 2 2" xfId="19556" xr:uid="{00000000-0005-0000-0000-0000644C0000}"/>
    <cellStyle name="Normal 231 2 2 3 3" xfId="19557" xr:uid="{00000000-0005-0000-0000-0000654C0000}"/>
    <cellStyle name="Normal 231 2 2 4" xfId="19558" xr:uid="{00000000-0005-0000-0000-0000664C0000}"/>
    <cellStyle name="Normal 231 2 2 4 2" xfId="19559" xr:uid="{00000000-0005-0000-0000-0000674C0000}"/>
    <cellStyle name="Normal 231 2 2 4 2 2" xfId="19560" xr:uid="{00000000-0005-0000-0000-0000684C0000}"/>
    <cellStyle name="Normal 231 2 2 4 3" xfId="19561" xr:uid="{00000000-0005-0000-0000-0000694C0000}"/>
    <cellStyle name="Normal 231 2 2 5" xfId="19562" xr:uid="{00000000-0005-0000-0000-00006A4C0000}"/>
    <cellStyle name="Normal 231 2 3" xfId="19563" xr:uid="{00000000-0005-0000-0000-00006B4C0000}"/>
    <cellStyle name="Normal 231 2 3 2" xfId="19564" xr:uid="{00000000-0005-0000-0000-00006C4C0000}"/>
    <cellStyle name="Normal 231 2 3 2 2" xfId="19565" xr:uid="{00000000-0005-0000-0000-00006D4C0000}"/>
    <cellStyle name="Normal 231 2 3 2 2 2" xfId="19566" xr:uid="{00000000-0005-0000-0000-00006E4C0000}"/>
    <cellStyle name="Normal 231 2 3 2 3" xfId="19567" xr:uid="{00000000-0005-0000-0000-00006F4C0000}"/>
    <cellStyle name="Normal 231 2 3 2 3 2" xfId="19568" xr:uid="{00000000-0005-0000-0000-0000704C0000}"/>
    <cellStyle name="Normal 231 2 3 2 3 2 2" xfId="19569" xr:uid="{00000000-0005-0000-0000-0000714C0000}"/>
    <cellStyle name="Normal 231 2 3 2 3 3" xfId="19570" xr:uid="{00000000-0005-0000-0000-0000724C0000}"/>
    <cellStyle name="Normal 231 2 3 2 4" xfId="19571" xr:uid="{00000000-0005-0000-0000-0000734C0000}"/>
    <cellStyle name="Normal 231 2 3 3" xfId="19572" xr:uid="{00000000-0005-0000-0000-0000744C0000}"/>
    <cellStyle name="Normal 231 2 3 3 2" xfId="19573" xr:uid="{00000000-0005-0000-0000-0000754C0000}"/>
    <cellStyle name="Normal 231 2 3 3 2 2" xfId="19574" xr:uid="{00000000-0005-0000-0000-0000764C0000}"/>
    <cellStyle name="Normal 231 2 3 3 3" xfId="19575" xr:uid="{00000000-0005-0000-0000-0000774C0000}"/>
    <cellStyle name="Normal 231 2 3 4" xfId="19576" xr:uid="{00000000-0005-0000-0000-0000784C0000}"/>
    <cellStyle name="Normal 231 2 3 4 2" xfId="19577" xr:uid="{00000000-0005-0000-0000-0000794C0000}"/>
    <cellStyle name="Normal 231 2 3 4 2 2" xfId="19578" xr:uid="{00000000-0005-0000-0000-00007A4C0000}"/>
    <cellStyle name="Normal 231 2 3 4 3" xfId="19579" xr:uid="{00000000-0005-0000-0000-00007B4C0000}"/>
    <cellStyle name="Normal 231 2 3 5" xfId="19580" xr:uid="{00000000-0005-0000-0000-00007C4C0000}"/>
    <cellStyle name="Normal 231 2 3 5 2" xfId="19581" xr:uid="{00000000-0005-0000-0000-00007D4C0000}"/>
    <cellStyle name="Normal 231 2 3 5 2 2" xfId="19582" xr:uid="{00000000-0005-0000-0000-00007E4C0000}"/>
    <cellStyle name="Normal 231 2 3 5 3" xfId="19583" xr:uid="{00000000-0005-0000-0000-00007F4C0000}"/>
    <cellStyle name="Normal 231 2 3 6" xfId="19584" xr:uid="{00000000-0005-0000-0000-0000804C0000}"/>
    <cellStyle name="Normal 231 2 4" xfId="19585" xr:uid="{00000000-0005-0000-0000-0000814C0000}"/>
    <cellStyle name="Normal 231 2 4 2" xfId="19586" xr:uid="{00000000-0005-0000-0000-0000824C0000}"/>
    <cellStyle name="Normal 231 2 4 2 2" xfId="19587" xr:uid="{00000000-0005-0000-0000-0000834C0000}"/>
    <cellStyle name="Normal 231 2 4 3" xfId="19588" xr:uid="{00000000-0005-0000-0000-0000844C0000}"/>
    <cellStyle name="Normal 231 2 5" xfId="19589" xr:uid="{00000000-0005-0000-0000-0000854C0000}"/>
    <cellStyle name="Normal 231 2 5 2" xfId="19590" xr:uid="{00000000-0005-0000-0000-0000864C0000}"/>
    <cellStyle name="Normal 231 2 5 2 2" xfId="19591" xr:uid="{00000000-0005-0000-0000-0000874C0000}"/>
    <cellStyle name="Normal 231 2 5 3" xfId="19592" xr:uid="{00000000-0005-0000-0000-0000884C0000}"/>
    <cellStyle name="Normal 231 2 6" xfId="19593" xr:uid="{00000000-0005-0000-0000-0000894C0000}"/>
    <cellStyle name="Normal 231 2 6 2" xfId="19594" xr:uid="{00000000-0005-0000-0000-00008A4C0000}"/>
    <cellStyle name="Normal 231 2 6 2 2" xfId="19595" xr:uid="{00000000-0005-0000-0000-00008B4C0000}"/>
    <cellStyle name="Normal 231 2 6 3" xfId="19596" xr:uid="{00000000-0005-0000-0000-00008C4C0000}"/>
    <cellStyle name="Normal 231 2 7" xfId="19597" xr:uid="{00000000-0005-0000-0000-00008D4C0000}"/>
    <cellStyle name="Normal 231 3" xfId="19598" xr:uid="{00000000-0005-0000-0000-00008E4C0000}"/>
    <cellStyle name="Normal 231 3 2" xfId="19599" xr:uid="{00000000-0005-0000-0000-00008F4C0000}"/>
    <cellStyle name="Normal 231 3 2 2" xfId="19600" xr:uid="{00000000-0005-0000-0000-0000904C0000}"/>
    <cellStyle name="Normal 231 3 3" xfId="19601" xr:uid="{00000000-0005-0000-0000-0000914C0000}"/>
    <cellStyle name="Normal 231 3 3 2" xfId="19602" xr:uid="{00000000-0005-0000-0000-0000924C0000}"/>
    <cellStyle name="Normal 231 3 3 2 2" xfId="19603" xr:uid="{00000000-0005-0000-0000-0000934C0000}"/>
    <cellStyle name="Normal 231 3 3 3" xfId="19604" xr:uid="{00000000-0005-0000-0000-0000944C0000}"/>
    <cellStyle name="Normal 231 3 4" xfId="19605" xr:uid="{00000000-0005-0000-0000-0000954C0000}"/>
    <cellStyle name="Normal 231 3 4 2" xfId="19606" xr:uid="{00000000-0005-0000-0000-0000964C0000}"/>
    <cellStyle name="Normal 231 3 4 2 2" xfId="19607" xr:uid="{00000000-0005-0000-0000-0000974C0000}"/>
    <cellStyle name="Normal 231 3 4 3" xfId="19608" xr:uid="{00000000-0005-0000-0000-0000984C0000}"/>
    <cellStyle name="Normal 231 3 5" xfId="19609" xr:uid="{00000000-0005-0000-0000-0000994C0000}"/>
    <cellStyle name="Normal 231 4" xfId="19610" xr:uid="{00000000-0005-0000-0000-00009A4C0000}"/>
    <cellStyle name="Normal 231 4 2" xfId="19611" xr:uid="{00000000-0005-0000-0000-00009B4C0000}"/>
    <cellStyle name="Normal 231 4 2 2" xfId="19612" xr:uid="{00000000-0005-0000-0000-00009C4C0000}"/>
    <cellStyle name="Normal 231 4 2 2 2" xfId="19613" xr:uid="{00000000-0005-0000-0000-00009D4C0000}"/>
    <cellStyle name="Normal 231 4 2 3" xfId="19614" xr:uid="{00000000-0005-0000-0000-00009E4C0000}"/>
    <cellStyle name="Normal 231 4 2 3 2" xfId="19615" xr:uid="{00000000-0005-0000-0000-00009F4C0000}"/>
    <cellStyle name="Normal 231 4 2 3 2 2" xfId="19616" xr:uid="{00000000-0005-0000-0000-0000A04C0000}"/>
    <cellStyle name="Normal 231 4 2 3 3" xfId="19617" xr:uid="{00000000-0005-0000-0000-0000A14C0000}"/>
    <cellStyle name="Normal 231 4 2 4" xfId="19618" xr:uid="{00000000-0005-0000-0000-0000A24C0000}"/>
    <cellStyle name="Normal 231 4 3" xfId="19619" xr:uid="{00000000-0005-0000-0000-0000A34C0000}"/>
    <cellStyle name="Normal 231 4 3 2" xfId="19620" xr:uid="{00000000-0005-0000-0000-0000A44C0000}"/>
    <cellStyle name="Normal 231 4 3 2 2" xfId="19621" xr:uid="{00000000-0005-0000-0000-0000A54C0000}"/>
    <cellStyle name="Normal 231 4 3 3" xfId="19622" xr:uid="{00000000-0005-0000-0000-0000A64C0000}"/>
    <cellStyle name="Normal 231 4 4" xfId="19623" xr:uid="{00000000-0005-0000-0000-0000A74C0000}"/>
    <cellStyle name="Normal 231 4 4 2" xfId="19624" xr:uid="{00000000-0005-0000-0000-0000A84C0000}"/>
    <cellStyle name="Normal 231 4 4 2 2" xfId="19625" xr:uid="{00000000-0005-0000-0000-0000A94C0000}"/>
    <cellStyle name="Normal 231 4 4 3" xfId="19626" xr:uid="{00000000-0005-0000-0000-0000AA4C0000}"/>
    <cellStyle name="Normal 231 4 5" xfId="19627" xr:uid="{00000000-0005-0000-0000-0000AB4C0000}"/>
    <cellStyle name="Normal 231 4 5 2" xfId="19628" xr:uid="{00000000-0005-0000-0000-0000AC4C0000}"/>
    <cellStyle name="Normal 231 4 5 2 2" xfId="19629" xr:uid="{00000000-0005-0000-0000-0000AD4C0000}"/>
    <cellStyle name="Normal 231 4 5 3" xfId="19630" xr:uid="{00000000-0005-0000-0000-0000AE4C0000}"/>
    <cellStyle name="Normal 231 4 6" xfId="19631" xr:uid="{00000000-0005-0000-0000-0000AF4C0000}"/>
    <cellStyle name="Normal 231 5" xfId="19632" xr:uid="{00000000-0005-0000-0000-0000B04C0000}"/>
    <cellStyle name="Normal 231 5 2" xfId="19633" xr:uid="{00000000-0005-0000-0000-0000B14C0000}"/>
    <cellStyle name="Normal 231 5 2 2" xfId="19634" xr:uid="{00000000-0005-0000-0000-0000B24C0000}"/>
    <cellStyle name="Normal 231 5 3" xfId="19635" xr:uid="{00000000-0005-0000-0000-0000B34C0000}"/>
    <cellStyle name="Normal 231 6" xfId="19636" xr:uid="{00000000-0005-0000-0000-0000B44C0000}"/>
    <cellStyle name="Normal 231 6 2" xfId="19637" xr:uid="{00000000-0005-0000-0000-0000B54C0000}"/>
    <cellStyle name="Normal 231 6 2 2" xfId="19638" xr:uid="{00000000-0005-0000-0000-0000B64C0000}"/>
    <cellStyle name="Normal 231 6 3" xfId="19639" xr:uid="{00000000-0005-0000-0000-0000B74C0000}"/>
    <cellStyle name="Normal 231 7" xfId="19640" xr:uid="{00000000-0005-0000-0000-0000B84C0000}"/>
    <cellStyle name="Normal 231 7 2" xfId="19641" xr:uid="{00000000-0005-0000-0000-0000B94C0000}"/>
    <cellStyle name="Normal 231 7 2 2" xfId="19642" xr:uid="{00000000-0005-0000-0000-0000BA4C0000}"/>
    <cellStyle name="Normal 231 7 3" xfId="19643" xr:uid="{00000000-0005-0000-0000-0000BB4C0000}"/>
    <cellStyle name="Normal 231 8" xfId="19644" xr:uid="{00000000-0005-0000-0000-0000BC4C0000}"/>
    <cellStyle name="Normal 232" xfId="19645" xr:uid="{00000000-0005-0000-0000-0000BD4C0000}"/>
    <cellStyle name="Normal 232 2" xfId="19646" xr:uid="{00000000-0005-0000-0000-0000BE4C0000}"/>
    <cellStyle name="Normal 232 2 2" xfId="19647" xr:uid="{00000000-0005-0000-0000-0000BF4C0000}"/>
    <cellStyle name="Normal 232 2 2 2" xfId="19648" xr:uid="{00000000-0005-0000-0000-0000C04C0000}"/>
    <cellStyle name="Normal 232 2 2 2 2" xfId="19649" xr:uid="{00000000-0005-0000-0000-0000C14C0000}"/>
    <cellStyle name="Normal 232 2 2 3" xfId="19650" xr:uid="{00000000-0005-0000-0000-0000C24C0000}"/>
    <cellStyle name="Normal 232 2 2 3 2" xfId="19651" xr:uid="{00000000-0005-0000-0000-0000C34C0000}"/>
    <cellStyle name="Normal 232 2 2 3 2 2" xfId="19652" xr:uid="{00000000-0005-0000-0000-0000C44C0000}"/>
    <cellStyle name="Normal 232 2 2 3 3" xfId="19653" xr:uid="{00000000-0005-0000-0000-0000C54C0000}"/>
    <cellStyle name="Normal 232 2 2 4" xfId="19654" xr:uid="{00000000-0005-0000-0000-0000C64C0000}"/>
    <cellStyle name="Normal 232 2 2 4 2" xfId="19655" xr:uid="{00000000-0005-0000-0000-0000C74C0000}"/>
    <cellStyle name="Normal 232 2 2 4 2 2" xfId="19656" xr:uid="{00000000-0005-0000-0000-0000C84C0000}"/>
    <cellStyle name="Normal 232 2 2 4 3" xfId="19657" xr:uid="{00000000-0005-0000-0000-0000C94C0000}"/>
    <cellStyle name="Normal 232 2 2 5" xfId="19658" xr:uid="{00000000-0005-0000-0000-0000CA4C0000}"/>
    <cellStyle name="Normal 232 2 3" xfId="19659" xr:uid="{00000000-0005-0000-0000-0000CB4C0000}"/>
    <cellStyle name="Normal 232 2 3 2" xfId="19660" xr:uid="{00000000-0005-0000-0000-0000CC4C0000}"/>
    <cellStyle name="Normal 232 2 3 2 2" xfId="19661" xr:uid="{00000000-0005-0000-0000-0000CD4C0000}"/>
    <cellStyle name="Normal 232 2 3 2 2 2" xfId="19662" xr:uid="{00000000-0005-0000-0000-0000CE4C0000}"/>
    <cellStyle name="Normal 232 2 3 2 3" xfId="19663" xr:uid="{00000000-0005-0000-0000-0000CF4C0000}"/>
    <cellStyle name="Normal 232 2 3 2 3 2" xfId="19664" xr:uid="{00000000-0005-0000-0000-0000D04C0000}"/>
    <cellStyle name="Normal 232 2 3 2 3 2 2" xfId="19665" xr:uid="{00000000-0005-0000-0000-0000D14C0000}"/>
    <cellStyle name="Normal 232 2 3 2 3 3" xfId="19666" xr:uid="{00000000-0005-0000-0000-0000D24C0000}"/>
    <cellStyle name="Normal 232 2 3 2 4" xfId="19667" xr:uid="{00000000-0005-0000-0000-0000D34C0000}"/>
    <cellStyle name="Normal 232 2 3 3" xfId="19668" xr:uid="{00000000-0005-0000-0000-0000D44C0000}"/>
    <cellStyle name="Normal 232 2 3 3 2" xfId="19669" xr:uid="{00000000-0005-0000-0000-0000D54C0000}"/>
    <cellStyle name="Normal 232 2 3 3 2 2" xfId="19670" xr:uid="{00000000-0005-0000-0000-0000D64C0000}"/>
    <cellStyle name="Normal 232 2 3 3 3" xfId="19671" xr:uid="{00000000-0005-0000-0000-0000D74C0000}"/>
    <cellStyle name="Normal 232 2 3 4" xfId="19672" xr:uid="{00000000-0005-0000-0000-0000D84C0000}"/>
    <cellStyle name="Normal 232 2 3 4 2" xfId="19673" xr:uid="{00000000-0005-0000-0000-0000D94C0000}"/>
    <cellStyle name="Normal 232 2 3 4 2 2" xfId="19674" xr:uid="{00000000-0005-0000-0000-0000DA4C0000}"/>
    <cellStyle name="Normal 232 2 3 4 3" xfId="19675" xr:uid="{00000000-0005-0000-0000-0000DB4C0000}"/>
    <cellStyle name="Normal 232 2 3 5" xfId="19676" xr:uid="{00000000-0005-0000-0000-0000DC4C0000}"/>
    <cellStyle name="Normal 232 2 3 5 2" xfId="19677" xr:uid="{00000000-0005-0000-0000-0000DD4C0000}"/>
    <cellStyle name="Normal 232 2 3 5 2 2" xfId="19678" xr:uid="{00000000-0005-0000-0000-0000DE4C0000}"/>
    <cellStyle name="Normal 232 2 3 5 3" xfId="19679" xr:uid="{00000000-0005-0000-0000-0000DF4C0000}"/>
    <cellStyle name="Normal 232 2 3 6" xfId="19680" xr:uid="{00000000-0005-0000-0000-0000E04C0000}"/>
    <cellStyle name="Normal 232 2 4" xfId="19681" xr:uid="{00000000-0005-0000-0000-0000E14C0000}"/>
    <cellStyle name="Normal 232 2 4 2" xfId="19682" xr:uid="{00000000-0005-0000-0000-0000E24C0000}"/>
    <cellStyle name="Normal 232 2 4 2 2" xfId="19683" xr:uid="{00000000-0005-0000-0000-0000E34C0000}"/>
    <cellStyle name="Normal 232 2 4 3" xfId="19684" xr:uid="{00000000-0005-0000-0000-0000E44C0000}"/>
    <cellStyle name="Normal 232 2 5" xfId="19685" xr:uid="{00000000-0005-0000-0000-0000E54C0000}"/>
    <cellStyle name="Normal 232 2 5 2" xfId="19686" xr:uid="{00000000-0005-0000-0000-0000E64C0000}"/>
    <cellStyle name="Normal 232 2 5 2 2" xfId="19687" xr:uid="{00000000-0005-0000-0000-0000E74C0000}"/>
    <cellStyle name="Normal 232 2 5 3" xfId="19688" xr:uid="{00000000-0005-0000-0000-0000E84C0000}"/>
    <cellStyle name="Normal 232 2 6" xfId="19689" xr:uid="{00000000-0005-0000-0000-0000E94C0000}"/>
    <cellStyle name="Normal 232 2 6 2" xfId="19690" xr:uid="{00000000-0005-0000-0000-0000EA4C0000}"/>
    <cellStyle name="Normal 232 2 6 2 2" xfId="19691" xr:uid="{00000000-0005-0000-0000-0000EB4C0000}"/>
    <cellStyle name="Normal 232 2 6 3" xfId="19692" xr:uid="{00000000-0005-0000-0000-0000EC4C0000}"/>
    <cellStyle name="Normal 232 2 7" xfId="19693" xr:uid="{00000000-0005-0000-0000-0000ED4C0000}"/>
    <cellStyle name="Normal 232 3" xfId="19694" xr:uid="{00000000-0005-0000-0000-0000EE4C0000}"/>
    <cellStyle name="Normal 232 3 2" xfId="19695" xr:uid="{00000000-0005-0000-0000-0000EF4C0000}"/>
    <cellStyle name="Normal 232 3 2 2" xfId="19696" xr:uid="{00000000-0005-0000-0000-0000F04C0000}"/>
    <cellStyle name="Normal 232 3 3" xfId="19697" xr:uid="{00000000-0005-0000-0000-0000F14C0000}"/>
    <cellStyle name="Normal 232 3 3 2" xfId="19698" xr:uid="{00000000-0005-0000-0000-0000F24C0000}"/>
    <cellStyle name="Normal 232 3 3 2 2" xfId="19699" xr:uid="{00000000-0005-0000-0000-0000F34C0000}"/>
    <cellStyle name="Normal 232 3 3 3" xfId="19700" xr:uid="{00000000-0005-0000-0000-0000F44C0000}"/>
    <cellStyle name="Normal 232 3 4" xfId="19701" xr:uid="{00000000-0005-0000-0000-0000F54C0000}"/>
    <cellStyle name="Normal 232 3 4 2" xfId="19702" xr:uid="{00000000-0005-0000-0000-0000F64C0000}"/>
    <cellStyle name="Normal 232 3 4 2 2" xfId="19703" xr:uid="{00000000-0005-0000-0000-0000F74C0000}"/>
    <cellStyle name="Normal 232 3 4 3" xfId="19704" xr:uid="{00000000-0005-0000-0000-0000F84C0000}"/>
    <cellStyle name="Normal 232 3 5" xfId="19705" xr:uid="{00000000-0005-0000-0000-0000F94C0000}"/>
    <cellStyle name="Normal 232 4" xfId="19706" xr:uid="{00000000-0005-0000-0000-0000FA4C0000}"/>
    <cellStyle name="Normal 232 4 2" xfId="19707" xr:uid="{00000000-0005-0000-0000-0000FB4C0000}"/>
    <cellStyle name="Normal 232 4 2 2" xfId="19708" xr:uid="{00000000-0005-0000-0000-0000FC4C0000}"/>
    <cellStyle name="Normal 232 4 2 2 2" xfId="19709" xr:uid="{00000000-0005-0000-0000-0000FD4C0000}"/>
    <cellStyle name="Normal 232 4 2 3" xfId="19710" xr:uid="{00000000-0005-0000-0000-0000FE4C0000}"/>
    <cellStyle name="Normal 232 4 2 3 2" xfId="19711" xr:uid="{00000000-0005-0000-0000-0000FF4C0000}"/>
    <cellStyle name="Normal 232 4 2 3 2 2" xfId="19712" xr:uid="{00000000-0005-0000-0000-0000004D0000}"/>
    <cellStyle name="Normal 232 4 2 3 3" xfId="19713" xr:uid="{00000000-0005-0000-0000-0000014D0000}"/>
    <cellStyle name="Normal 232 4 2 4" xfId="19714" xr:uid="{00000000-0005-0000-0000-0000024D0000}"/>
    <cellStyle name="Normal 232 4 3" xfId="19715" xr:uid="{00000000-0005-0000-0000-0000034D0000}"/>
    <cellStyle name="Normal 232 4 3 2" xfId="19716" xr:uid="{00000000-0005-0000-0000-0000044D0000}"/>
    <cellStyle name="Normal 232 4 3 2 2" xfId="19717" xr:uid="{00000000-0005-0000-0000-0000054D0000}"/>
    <cellStyle name="Normal 232 4 3 3" xfId="19718" xr:uid="{00000000-0005-0000-0000-0000064D0000}"/>
    <cellStyle name="Normal 232 4 4" xfId="19719" xr:uid="{00000000-0005-0000-0000-0000074D0000}"/>
    <cellStyle name="Normal 232 4 4 2" xfId="19720" xr:uid="{00000000-0005-0000-0000-0000084D0000}"/>
    <cellStyle name="Normal 232 4 4 2 2" xfId="19721" xr:uid="{00000000-0005-0000-0000-0000094D0000}"/>
    <cellStyle name="Normal 232 4 4 3" xfId="19722" xr:uid="{00000000-0005-0000-0000-00000A4D0000}"/>
    <cellStyle name="Normal 232 4 5" xfId="19723" xr:uid="{00000000-0005-0000-0000-00000B4D0000}"/>
    <cellStyle name="Normal 232 4 5 2" xfId="19724" xr:uid="{00000000-0005-0000-0000-00000C4D0000}"/>
    <cellStyle name="Normal 232 4 5 2 2" xfId="19725" xr:uid="{00000000-0005-0000-0000-00000D4D0000}"/>
    <cellStyle name="Normal 232 4 5 3" xfId="19726" xr:uid="{00000000-0005-0000-0000-00000E4D0000}"/>
    <cellStyle name="Normal 232 4 6" xfId="19727" xr:uid="{00000000-0005-0000-0000-00000F4D0000}"/>
    <cellStyle name="Normal 232 5" xfId="19728" xr:uid="{00000000-0005-0000-0000-0000104D0000}"/>
    <cellStyle name="Normal 232 5 2" xfId="19729" xr:uid="{00000000-0005-0000-0000-0000114D0000}"/>
    <cellStyle name="Normal 232 5 2 2" xfId="19730" xr:uid="{00000000-0005-0000-0000-0000124D0000}"/>
    <cellStyle name="Normal 232 5 3" xfId="19731" xr:uid="{00000000-0005-0000-0000-0000134D0000}"/>
    <cellStyle name="Normal 232 6" xfId="19732" xr:uid="{00000000-0005-0000-0000-0000144D0000}"/>
    <cellStyle name="Normal 232 6 2" xfId="19733" xr:uid="{00000000-0005-0000-0000-0000154D0000}"/>
    <cellStyle name="Normal 232 6 2 2" xfId="19734" xr:uid="{00000000-0005-0000-0000-0000164D0000}"/>
    <cellStyle name="Normal 232 6 3" xfId="19735" xr:uid="{00000000-0005-0000-0000-0000174D0000}"/>
    <cellStyle name="Normal 232 7" xfId="19736" xr:uid="{00000000-0005-0000-0000-0000184D0000}"/>
    <cellStyle name="Normal 232 7 2" xfId="19737" xr:uid="{00000000-0005-0000-0000-0000194D0000}"/>
    <cellStyle name="Normal 232 7 2 2" xfId="19738" xr:uid="{00000000-0005-0000-0000-00001A4D0000}"/>
    <cellStyle name="Normal 232 7 3" xfId="19739" xr:uid="{00000000-0005-0000-0000-00001B4D0000}"/>
    <cellStyle name="Normal 232 8" xfId="19740" xr:uid="{00000000-0005-0000-0000-00001C4D0000}"/>
    <cellStyle name="Normal 233" xfId="19741" xr:uid="{00000000-0005-0000-0000-00001D4D0000}"/>
    <cellStyle name="Normal 233 2" xfId="19742" xr:uid="{00000000-0005-0000-0000-00001E4D0000}"/>
    <cellStyle name="Normal 233 2 2" xfId="19743" xr:uid="{00000000-0005-0000-0000-00001F4D0000}"/>
    <cellStyle name="Normal 233 2 2 2" xfId="19744" xr:uid="{00000000-0005-0000-0000-0000204D0000}"/>
    <cellStyle name="Normal 233 2 2 2 2" xfId="19745" xr:uid="{00000000-0005-0000-0000-0000214D0000}"/>
    <cellStyle name="Normal 233 2 2 3" xfId="19746" xr:uid="{00000000-0005-0000-0000-0000224D0000}"/>
    <cellStyle name="Normal 233 2 2 3 2" xfId="19747" xr:uid="{00000000-0005-0000-0000-0000234D0000}"/>
    <cellStyle name="Normal 233 2 2 3 2 2" xfId="19748" xr:uid="{00000000-0005-0000-0000-0000244D0000}"/>
    <cellStyle name="Normal 233 2 2 3 3" xfId="19749" xr:uid="{00000000-0005-0000-0000-0000254D0000}"/>
    <cellStyle name="Normal 233 2 2 4" xfId="19750" xr:uid="{00000000-0005-0000-0000-0000264D0000}"/>
    <cellStyle name="Normal 233 2 2 4 2" xfId="19751" xr:uid="{00000000-0005-0000-0000-0000274D0000}"/>
    <cellStyle name="Normal 233 2 2 4 2 2" xfId="19752" xr:uid="{00000000-0005-0000-0000-0000284D0000}"/>
    <cellStyle name="Normal 233 2 2 4 3" xfId="19753" xr:uid="{00000000-0005-0000-0000-0000294D0000}"/>
    <cellStyle name="Normal 233 2 2 5" xfId="19754" xr:uid="{00000000-0005-0000-0000-00002A4D0000}"/>
    <cellStyle name="Normal 233 2 3" xfId="19755" xr:uid="{00000000-0005-0000-0000-00002B4D0000}"/>
    <cellStyle name="Normal 233 2 3 2" xfId="19756" xr:uid="{00000000-0005-0000-0000-00002C4D0000}"/>
    <cellStyle name="Normal 233 2 3 2 2" xfId="19757" xr:uid="{00000000-0005-0000-0000-00002D4D0000}"/>
    <cellStyle name="Normal 233 2 3 2 2 2" xfId="19758" xr:uid="{00000000-0005-0000-0000-00002E4D0000}"/>
    <cellStyle name="Normal 233 2 3 2 3" xfId="19759" xr:uid="{00000000-0005-0000-0000-00002F4D0000}"/>
    <cellStyle name="Normal 233 2 3 2 3 2" xfId="19760" xr:uid="{00000000-0005-0000-0000-0000304D0000}"/>
    <cellStyle name="Normal 233 2 3 2 3 2 2" xfId="19761" xr:uid="{00000000-0005-0000-0000-0000314D0000}"/>
    <cellStyle name="Normal 233 2 3 2 3 3" xfId="19762" xr:uid="{00000000-0005-0000-0000-0000324D0000}"/>
    <cellStyle name="Normal 233 2 3 2 4" xfId="19763" xr:uid="{00000000-0005-0000-0000-0000334D0000}"/>
    <cellStyle name="Normal 233 2 3 3" xfId="19764" xr:uid="{00000000-0005-0000-0000-0000344D0000}"/>
    <cellStyle name="Normal 233 2 3 3 2" xfId="19765" xr:uid="{00000000-0005-0000-0000-0000354D0000}"/>
    <cellStyle name="Normal 233 2 3 3 2 2" xfId="19766" xr:uid="{00000000-0005-0000-0000-0000364D0000}"/>
    <cellStyle name="Normal 233 2 3 3 3" xfId="19767" xr:uid="{00000000-0005-0000-0000-0000374D0000}"/>
    <cellStyle name="Normal 233 2 3 4" xfId="19768" xr:uid="{00000000-0005-0000-0000-0000384D0000}"/>
    <cellStyle name="Normal 233 2 3 4 2" xfId="19769" xr:uid="{00000000-0005-0000-0000-0000394D0000}"/>
    <cellStyle name="Normal 233 2 3 4 2 2" xfId="19770" xr:uid="{00000000-0005-0000-0000-00003A4D0000}"/>
    <cellStyle name="Normal 233 2 3 4 3" xfId="19771" xr:uid="{00000000-0005-0000-0000-00003B4D0000}"/>
    <cellStyle name="Normal 233 2 3 5" xfId="19772" xr:uid="{00000000-0005-0000-0000-00003C4D0000}"/>
    <cellStyle name="Normal 233 2 3 5 2" xfId="19773" xr:uid="{00000000-0005-0000-0000-00003D4D0000}"/>
    <cellStyle name="Normal 233 2 3 5 2 2" xfId="19774" xr:uid="{00000000-0005-0000-0000-00003E4D0000}"/>
    <cellStyle name="Normal 233 2 3 5 3" xfId="19775" xr:uid="{00000000-0005-0000-0000-00003F4D0000}"/>
    <cellStyle name="Normal 233 2 3 6" xfId="19776" xr:uid="{00000000-0005-0000-0000-0000404D0000}"/>
    <cellStyle name="Normal 233 2 4" xfId="19777" xr:uid="{00000000-0005-0000-0000-0000414D0000}"/>
    <cellStyle name="Normal 233 2 4 2" xfId="19778" xr:uid="{00000000-0005-0000-0000-0000424D0000}"/>
    <cellStyle name="Normal 233 2 4 2 2" xfId="19779" xr:uid="{00000000-0005-0000-0000-0000434D0000}"/>
    <cellStyle name="Normal 233 2 4 3" xfId="19780" xr:uid="{00000000-0005-0000-0000-0000444D0000}"/>
    <cellStyle name="Normal 233 2 5" xfId="19781" xr:uid="{00000000-0005-0000-0000-0000454D0000}"/>
    <cellStyle name="Normal 233 2 5 2" xfId="19782" xr:uid="{00000000-0005-0000-0000-0000464D0000}"/>
    <cellStyle name="Normal 233 2 5 2 2" xfId="19783" xr:uid="{00000000-0005-0000-0000-0000474D0000}"/>
    <cellStyle name="Normal 233 2 5 3" xfId="19784" xr:uid="{00000000-0005-0000-0000-0000484D0000}"/>
    <cellStyle name="Normal 233 2 6" xfId="19785" xr:uid="{00000000-0005-0000-0000-0000494D0000}"/>
    <cellStyle name="Normal 233 2 6 2" xfId="19786" xr:uid="{00000000-0005-0000-0000-00004A4D0000}"/>
    <cellStyle name="Normal 233 2 6 2 2" xfId="19787" xr:uid="{00000000-0005-0000-0000-00004B4D0000}"/>
    <cellStyle name="Normal 233 2 6 3" xfId="19788" xr:uid="{00000000-0005-0000-0000-00004C4D0000}"/>
    <cellStyle name="Normal 233 2 7" xfId="19789" xr:uid="{00000000-0005-0000-0000-00004D4D0000}"/>
    <cellStyle name="Normal 233 3" xfId="19790" xr:uid="{00000000-0005-0000-0000-00004E4D0000}"/>
    <cellStyle name="Normal 233 3 2" xfId="19791" xr:uid="{00000000-0005-0000-0000-00004F4D0000}"/>
    <cellStyle name="Normal 233 3 2 2" xfId="19792" xr:uid="{00000000-0005-0000-0000-0000504D0000}"/>
    <cellStyle name="Normal 233 3 3" xfId="19793" xr:uid="{00000000-0005-0000-0000-0000514D0000}"/>
    <cellStyle name="Normal 233 3 3 2" xfId="19794" xr:uid="{00000000-0005-0000-0000-0000524D0000}"/>
    <cellStyle name="Normal 233 3 3 2 2" xfId="19795" xr:uid="{00000000-0005-0000-0000-0000534D0000}"/>
    <cellStyle name="Normal 233 3 3 3" xfId="19796" xr:uid="{00000000-0005-0000-0000-0000544D0000}"/>
    <cellStyle name="Normal 233 3 4" xfId="19797" xr:uid="{00000000-0005-0000-0000-0000554D0000}"/>
    <cellStyle name="Normal 233 3 4 2" xfId="19798" xr:uid="{00000000-0005-0000-0000-0000564D0000}"/>
    <cellStyle name="Normal 233 3 4 2 2" xfId="19799" xr:uid="{00000000-0005-0000-0000-0000574D0000}"/>
    <cellStyle name="Normal 233 3 4 3" xfId="19800" xr:uid="{00000000-0005-0000-0000-0000584D0000}"/>
    <cellStyle name="Normal 233 3 5" xfId="19801" xr:uid="{00000000-0005-0000-0000-0000594D0000}"/>
    <cellStyle name="Normal 233 4" xfId="19802" xr:uid="{00000000-0005-0000-0000-00005A4D0000}"/>
    <cellStyle name="Normal 233 4 2" xfId="19803" xr:uid="{00000000-0005-0000-0000-00005B4D0000}"/>
    <cellStyle name="Normal 233 4 2 2" xfId="19804" xr:uid="{00000000-0005-0000-0000-00005C4D0000}"/>
    <cellStyle name="Normal 233 4 2 2 2" xfId="19805" xr:uid="{00000000-0005-0000-0000-00005D4D0000}"/>
    <cellStyle name="Normal 233 4 2 3" xfId="19806" xr:uid="{00000000-0005-0000-0000-00005E4D0000}"/>
    <cellStyle name="Normal 233 4 2 3 2" xfId="19807" xr:uid="{00000000-0005-0000-0000-00005F4D0000}"/>
    <cellStyle name="Normal 233 4 2 3 2 2" xfId="19808" xr:uid="{00000000-0005-0000-0000-0000604D0000}"/>
    <cellStyle name="Normal 233 4 2 3 3" xfId="19809" xr:uid="{00000000-0005-0000-0000-0000614D0000}"/>
    <cellStyle name="Normal 233 4 2 4" xfId="19810" xr:uid="{00000000-0005-0000-0000-0000624D0000}"/>
    <cellStyle name="Normal 233 4 3" xfId="19811" xr:uid="{00000000-0005-0000-0000-0000634D0000}"/>
    <cellStyle name="Normal 233 4 3 2" xfId="19812" xr:uid="{00000000-0005-0000-0000-0000644D0000}"/>
    <cellStyle name="Normal 233 4 3 2 2" xfId="19813" xr:uid="{00000000-0005-0000-0000-0000654D0000}"/>
    <cellStyle name="Normal 233 4 3 3" xfId="19814" xr:uid="{00000000-0005-0000-0000-0000664D0000}"/>
    <cellStyle name="Normal 233 4 4" xfId="19815" xr:uid="{00000000-0005-0000-0000-0000674D0000}"/>
    <cellStyle name="Normal 233 4 4 2" xfId="19816" xr:uid="{00000000-0005-0000-0000-0000684D0000}"/>
    <cellStyle name="Normal 233 4 4 2 2" xfId="19817" xr:uid="{00000000-0005-0000-0000-0000694D0000}"/>
    <cellStyle name="Normal 233 4 4 3" xfId="19818" xr:uid="{00000000-0005-0000-0000-00006A4D0000}"/>
    <cellStyle name="Normal 233 4 5" xfId="19819" xr:uid="{00000000-0005-0000-0000-00006B4D0000}"/>
    <cellStyle name="Normal 233 4 5 2" xfId="19820" xr:uid="{00000000-0005-0000-0000-00006C4D0000}"/>
    <cellStyle name="Normal 233 4 5 2 2" xfId="19821" xr:uid="{00000000-0005-0000-0000-00006D4D0000}"/>
    <cellStyle name="Normal 233 4 5 3" xfId="19822" xr:uid="{00000000-0005-0000-0000-00006E4D0000}"/>
    <cellStyle name="Normal 233 4 6" xfId="19823" xr:uid="{00000000-0005-0000-0000-00006F4D0000}"/>
    <cellStyle name="Normal 233 5" xfId="19824" xr:uid="{00000000-0005-0000-0000-0000704D0000}"/>
    <cellStyle name="Normal 233 5 2" xfId="19825" xr:uid="{00000000-0005-0000-0000-0000714D0000}"/>
    <cellStyle name="Normal 233 5 2 2" xfId="19826" xr:uid="{00000000-0005-0000-0000-0000724D0000}"/>
    <cellStyle name="Normal 233 5 3" xfId="19827" xr:uid="{00000000-0005-0000-0000-0000734D0000}"/>
    <cellStyle name="Normal 233 6" xfId="19828" xr:uid="{00000000-0005-0000-0000-0000744D0000}"/>
    <cellStyle name="Normal 233 6 2" xfId="19829" xr:uid="{00000000-0005-0000-0000-0000754D0000}"/>
    <cellStyle name="Normal 233 6 2 2" xfId="19830" xr:uid="{00000000-0005-0000-0000-0000764D0000}"/>
    <cellStyle name="Normal 233 6 3" xfId="19831" xr:uid="{00000000-0005-0000-0000-0000774D0000}"/>
    <cellStyle name="Normal 233 7" xfId="19832" xr:uid="{00000000-0005-0000-0000-0000784D0000}"/>
    <cellStyle name="Normal 233 7 2" xfId="19833" xr:uid="{00000000-0005-0000-0000-0000794D0000}"/>
    <cellStyle name="Normal 233 7 2 2" xfId="19834" xr:uid="{00000000-0005-0000-0000-00007A4D0000}"/>
    <cellStyle name="Normal 233 7 3" xfId="19835" xr:uid="{00000000-0005-0000-0000-00007B4D0000}"/>
    <cellStyle name="Normal 233 8" xfId="19836" xr:uid="{00000000-0005-0000-0000-00007C4D0000}"/>
    <cellStyle name="Normal 234" xfId="19837" xr:uid="{00000000-0005-0000-0000-00007D4D0000}"/>
    <cellStyle name="Normal 234 2" xfId="19838" xr:uid="{00000000-0005-0000-0000-00007E4D0000}"/>
    <cellStyle name="Normal 234 2 2" xfId="19839" xr:uid="{00000000-0005-0000-0000-00007F4D0000}"/>
    <cellStyle name="Normal 234 2 2 2" xfId="19840" xr:uid="{00000000-0005-0000-0000-0000804D0000}"/>
    <cellStyle name="Normal 234 2 2 2 2" xfId="19841" xr:uid="{00000000-0005-0000-0000-0000814D0000}"/>
    <cellStyle name="Normal 234 2 2 3" xfId="19842" xr:uid="{00000000-0005-0000-0000-0000824D0000}"/>
    <cellStyle name="Normal 234 2 2 3 2" xfId="19843" xr:uid="{00000000-0005-0000-0000-0000834D0000}"/>
    <cellStyle name="Normal 234 2 2 3 2 2" xfId="19844" xr:uid="{00000000-0005-0000-0000-0000844D0000}"/>
    <cellStyle name="Normal 234 2 2 3 3" xfId="19845" xr:uid="{00000000-0005-0000-0000-0000854D0000}"/>
    <cellStyle name="Normal 234 2 2 4" xfId="19846" xr:uid="{00000000-0005-0000-0000-0000864D0000}"/>
    <cellStyle name="Normal 234 2 2 4 2" xfId="19847" xr:uid="{00000000-0005-0000-0000-0000874D0000}"/>
    <cellStyle name="Normal 234 2 2 4 2 2" xfId="19848" xr:uid="{00000000-0005-0000-0000-0000884D0000}"/>
    <cellStyle name="Normal 234 2 2 4 3" xfId="19849" xr:uid="{00000000-0005-0000-0000-0000894D0000}"/>
    <cellStyle name="Normal 234 2 2 5" xfId="19850" xr:uid="{00000000-0005-0000-0000-00008A4D0000}"/>
    <cellStyle name="Normal 234 2 3" xfId="19851" xr:uid="{00000000-0005-0000-0000-00008B4D0000}"/>
    <cellStyle name="Normal 234 2 3 2" xfId="19852" xr:uid="{00000000-0005-0000-0000-00008C4D0000}"/>
    <cellStyle name="Normal 234 2 3 2 2" xfId="19853" xr:uid="{00000000-0005-0000-0000-00008D4D0000}"/>
    <cellStyle name="Normal 234 2 3 2 2 2" xfId="19854" xr:uid="{00000000-0005-0000-0000-00008E4D0000}"/>
    <cellStyle name="Normal 234 2 3 2 3" xfId="19855" xr:uid="{00000000-0005-0000-0000-00008F4D0000}"/>
    <cellStyle name="Normal 234 2 3 2 3 2" xfId="19856" xr:uid="{00000000-0005-0000-0000-0000904D0000}"/>
    <cellStyle name="Normal 234 2 3 2 3 2 2" xfId="19857" xr:uid="{00000000-0005-0000-0000-0000914D0000}"/>
    <cellStyle name="Normal 234 2 3 2 3 3" xfId="19858" xr:uid="{00000000-0005-0000-0000-0000924D0000}"/>
    <cellStyle name="Normal 234 2 3 2 4" xfId="19859" xr:uid="{00000000-0005-0000-0000-0000934D0000}"/>
    <cellStyle name="Normal 234 2 3 3" xfId="19860" xr:uid="{00000000-0005-0000-0000-0000944D0000}"/>
    <cellStyle name="Normal 234 2 3 3 2" xfId="19861" xr:uid="{00000000-0005-0000-0000-0000954D0000}"/>
    <cellStyle name="Normal 234 2 3 3 2 2" xfId="19862" xr:uid="{00000000-0005-0000-0000-0000964D0000}"/>
    <cellStyle name="Normal 234 2 3 3 3" xfId="19863" xr:uid="{00000000-0005-0000-0000-0000974D0000}"/>
    <cellStyle name="Normal 234 2 3 4" xfId="19864" xr:uid="{00000000-0005-0000-0000-0000984D0000}"/>
    <cellStyle name="Normal 234 2 3 4 2" xfId="19865" xr:uid="{00000000-0005-0000-0000-0000994D0000}"/>
    <cellStyle name="Normal 234 2 3 4 2 2" xfId="19866" xr:uid="{00000000-0005-0000-0000-00009A4D0000}"/>
    <cellStyle name="Normal 234 2 3 4 3" xfId="19867" xr:uid="{00000000-0005-0000-0000-00009B4D0000}"/>
    <cellStyle name="Normal 234 2 3 5" xfId="19868" xr:uid="{00000000-0005-0000-0000-00009C4D0000}"/>
    <cellStyle name="Normal 234 2 3 5 2" xfId="19869" xr:uid="{00000000-0005-0000-0000-00009D4D0000}"/>
    <cellStyle name="Normal 234 2 3 5 2 2" xfId="19870" xr:uid="{00000000-0005-0000-0000-00009E4D0000}"/>
    <cellStyle name="Normal 234 2 3 5 3" xfId="19871" xr:uid="{00000000-0005-0000-0000-00009F4D0000}"/>
    <cellStyle name="Normal 234 2 3 6" xfId="19872" xr:uid="{00000000-0005-0000-0000-0000A04D0000}"/>
    <cellStyle name="Normal 234 2 4" xfId="19873" xr:uid="{00000000-0005-0000-0000-0000A14D0000}"/>
    <cellStyle name="Normal 234 2 4 2" xfId="19874" xr:uid="{00000000-0005-0000-0000-0000A24D0000}"/>
    <cellStyle name="Normal 234 2 4 2 2" xfId="19875" xr:uid="{00000000-0005-0000-0000-0000A34D0000}"/>
    <cellStyle name="Normal 234 2 4 3" xfId="19876" xr:uid="{00000000-0005-0000-0000-0000A44D0000}"/>
    <cellStyle name="Normal 234 2 5" xfId="19877" xr:uid="{00000000-0005-0000-0000-0000A54D0000}"/>
    <cellStyle name="Normal 234 2 5 2" xfId="19878" xr:uid="{00000000-0005-0000-0000-0000A64D0000}"/>
    <cellStyle name="Normal 234 2 5 2 2" xfId="19879" xr:uid="{00000000-0005-0000-0000-0000A74D0000}"/>
    <cellStyle name="Normal 234 2 5 3" xfId="19880" xr:uid="{00000000-0005-0000-0000-0000A84D0000}"/>
    <cellStyle name="Normal 234 2 6" xfId="19881" xr:uid="{00000000-0005-0000-0000-0000A94D0000}"/>
    <cellStyle name="Normal 234 2 6 2" xfId="19882" xr:uid="{00000000-0005-0000-0000-0000AA4D0000}"/>
    <cellStyle name="Normal 234 2 6 2 2" xfId="19883" xr:uid="{00000000-0005-0000-0000-0000AB4D0000}"/>
    <cellStyle name="Normal 234 2 6 3" xfId="19884" xr:uid="{00000000-0005-0000-0000-0000AC4D0000}"/>
    <cellStyle name="Normal 234 2 7" xfId="19885" xr:uid="{00000000-0005-0000-0000-0000AD4D0000}"/>
    <cellStyle name="Normal 234 3" xfId="19886" xr:uid="{00000000-0005-0000-0000-0000AE4D0000}"/>
    <cellStyle name="Normal 234 3 2" xfId="19887" xr:uid="{00000000-0005-0000-0000-0000AF4D0000}"/>
    <cellStyle name="Normal 234 3 2 2" xfId="19888" xr:uid="{00000000-0005-0000-0000-0000B04D0000}"/>
    <cellStyle name="Normal 234 3 3" xfId="19889" xr:uid="{00000000-0005-0000-0000-0000B14D0000}"/>
    <cellStyle name="Normal 234 3 3 2" xfId="19890" xr:uid="{00000000-0005-0000-0000-0000B24D0000}"/>
    <cellStyle name="Normal 234 3 3 2 2" xfId="19891" xr:uid="{00000000-0005-0000-0000-0000B34D0000}"/>
    <cellStyle name="Normal 234 3 3 3" xfId="19892" xr:uid="{00000000-0005-0000-0000-0000B44D0000}"/>
    <cellStyle name="Normal 234 3 4" xfId="19893" xr:uid="{00000000-0005-0000-0000-0000B54D0000}"/>
    <cellStyle name="Normal 234 3 4 2" xfId="19894" xr:uid="{00000000-0005-0000-0000-0000B64D0000}"/>
    <cellStyle name="Normal 234 3 4 2 2" xfId="19895" xr:uid="{00000000-0005-0000-0000-0000B74D0000}"/>
    <cellStyle name="Normal 234 3 4 3" xfId="19896" xr:uid="{00000000-0005-0000-0000-0000B84D0000}"/>
    <cellStyle name="Normal 234 3 5" xfId="19897" xr:uid="{00000000-0005-0000-0000-0000B94D0000}"/>
    <cellStyle name="Normal 234 4" xfId="19898" xr:uid="{00000000-0005-0000-0000-0000BA4D0000}"/>
    <cellStyle name="Normal 234 4 2" xfId="19899" xr:uid="{00000000-0005-0000-0000-0000BB4D0000}"/>
    <cellStyle name="Normal 234 4 2 2" xfId="19900" xr:uid="{00000000-0005-0000-0000-0000BC4D0000}"/>
    <cellStyle name="Normal 234 4 2 2 2" xfId="19901" xr:uid="{00000000-0005-0000-0000-0000BD4D0000}"/>
    <cellStyle name="Normal 234 4 2 3" xfId="19902" xr:uid="{00000000-0005-0000-0000-0000BE4D0000}"/>
    <cellStyle name="Normal 234 4 2 3 2" xfId="19903" xr:uid="{00000000-0005-0000-0000-0000BF4D0000}"/>
    <cellStyle name="Normal 234 4 2 3 2 2" xfId="19904" xr:uid="{00000000-0005-0000-0000-0000C04D0000}"/>
    <cellStyle name="Normal 234 4 2 3 3" xfId="19905" xr:uid="{00000000-0005-0000-0000-0000C14D0000}"/>
    <cellStyle name="Normal 234 4 2 4" xfId="19906" xr:uid="{00000000-0005-0000-0000-0000C24D0000}"/>
    <cellStyle name="Normal 234 4 3" xfId="19907" xr:uid="{00000000-0005-0000-0000-0000C34D0000}"/>
    <cellStyle name="Normal 234 4 3 2" xfId="19908" xr:uid="{00000000-0005-0000-0000-0000C44D0000}"/>
    <cellStyle name="Normal 234 4 3 2 2" xfId="19909" xr:uid="{00000000-0005-0000-0000-0000C54D0000}"/>
    <cellStyle name="Normal 234 4 3 3" xfId="19910" xr:uid="{00000000-0005-0000-0000-0000C64D0000}"/>
    <cellStyle name="Normal 234 4 4" xfId="19911" xr:uid="{00000000-0005-0000-0000-0000C74D0000}"/>
    <cellStyle name="Normal 234 4 4 2" xfId="19912" xr:uid="{00000000-0005-0000-0000-0000C84D0000}"/>
    <cellStyle name="Normal 234 4 4 2 2" xfId="19913" xr:uid="{00000000-0005-0000-0000-0000C94D0000}"/>
    <cellStyle name="Normal 234 4 4 3" xfId="19914" xr:uid="{00000000-0005-0000-0000-0000CA4D0000}"/>
    <cellStyle name="Normal 234 4 5" xfId="19915" xr:uid="{00000000-0005-0000-0000-0000CB4D0000}"/>
    <cellStyle name="Normal 234 4 5 2" xfId="19916" xr:uid="{00000000-0005-0000-0000-0000CC4D0000}"/>
    <cellStyle name="Normal 234 4 5 2 2" xfId="19917" xr:uid="{00000000-0005-0000-0000-0000CD4D0000}"/>
    <cellStyle name="Normal 234 4 5 3" xfId="19918" xr:uid="{00000000-0005-0000-0000-0000CE4D0000}"/>
    <cellStyle name="Normal 234 4 6" xfId="19919" xr:uid="{00000000-0005-0000-0000-0000CF4D0000}"/>
    <cellStyle name="Normal 234 5" xfId="19920" xr:uid="{00000000-0005-0000-0000-0000D04D0000}"/>
    <cellStyle name="Normal 234 5 2" xfId="19921" xr:uid="{00000000-0005-0000-0000-0000D14D0000}"/>
    <cellStyle name="Normal 234 5 2 2" xfId="19922" xr:uid="{00000000-0005-0000-0000-0000D24D0000}"/>
    <cellStyle name="Normal 234 5 3" xfId="19923" xr:uid="{00000000-0005-0000-0000-0000D34D0000}"/>
    <cellStyle name="Normal 234 6" xfId="19924" xr:uid="{00000000-0005-0000-0000-0000D44D0000}"/>
    <cellStyle name="Normal 234 6 2" xfId="19925" xr:uid="{00000000-0005-0000-0000-0000D54D0000}"/>
    <cellStyle name="Normal 234 6 2 2" xfId="19926" xr:uid="{00000000-0005-0000-0000-0000D64D0000}"/>
    <cellStyle name="Normal 234 6 3" xfId="19927" xr:uid="{00000000-0005-0000-0000-0000D74D0000}"/>
    <cellStyle name="Normal 234 7" xfId="19928" xr:uid="{00000000-0005-0000-0000-0000D84D0000}"/>
    <cellStyle name="Normal 234 7 2" xfId="19929" xr:uid="{00000000-0005-0000-0000-0000D94D0000}"/>
    <cellStyle name="Normal 234 7 2 2" xfId="19930" xr:uid="{00000000-0005-0000-0000-0000DA4D0000}"/>
    <cellStyle name="Normal 234 7 3" xfId="19931" xr:uid="{00000000-0005-0000-0000-0000DB4D0000}"/>
    <cellStyle name="Normal 234 8" xfId="19932" xr:uid="{00000000-0005-0000-0000-0000DC4D0000}"/>
    <cellStyle name="Normal 235" xfId="19933" xr:uid="{00000000-0005-0000-0000-0000DD4D0000}"/>
    <cellStyle name="Normal 235 2" xfId="19934" xr:uid="{00000000-0005-0000-0000-0000DE4D0000}"/>
    <cellStyle name="Normal 235 2 2" xfId="19935" xr:uid="{00000000-0005-0000-0000-0000DF4D0000}"/>
    <cellStyle name="Normal 235 2 2 2" xfId="19936" xr:uid="{00000000-0005-0000-0000-0000E04D0000}"/>
    <cellStyle name="Normal 235 2 2 2 2" xfId="19937" xr:uid="{00000000-0005-0000-0000-0000E14D0000}"/>
    <cellStyle name="Normal 235 2 2 3" xfId="19938" xr:uid="{00000000-0005-0000-0000-0000E24D0000}"/>
    <cellStyle name="Normal 235 2 2 3 2" xfId="19939" xr:uid="{00000000-0005-0000-0000-0000E34D0000}"/>
    <cellStyle name="Normal 235 2 2 3 2 2" xfId="19940" xr:uid="{00000000-0005-0000-0000-0000E44D0000}"/>
    <cellStyle name="Normal 235 2 2 3 3" xfId="19941" xr:uid="{00000000-0005-0000-0000-0000E54D0000}"/>
    <cellStyle name="Normal 235 2 2 4" xfId="19942" xr:uid="{00000000-0005-0000-0000-0000E64D0000}"/>
    <cellStyle name="Normal 235 2 2 4 2" xfId="19943" xr:uid="{00000000-0005-0000-0000-0000E74D0000}"/>
    <cellStyle name="Normal 235 2 2 4 2 2" xfId="19944" xr:uid="{00000000-0005-0000-0000-0000E84D0000}"/>
    <cellStyle name="Normal 235 2 2 4 3" xfId="19945" xr:uid="{00000000-0005-0000-0000-0000E94D0000}"/>
    <cellStyle name="Normal 235 2 2 5" xfId="19946" xr:uid="{00000000-0005-0000-0000-0000EA4D0000}"/>
    <cellStyle name="Normal 235 2 3" xfId="19947" xr:uid="{00000000-0005-0000-0000-0000EB4D0000}"/>
    <cellStyle name="Normal 235 2 3 2" xfId="19948" xr:uid="{00000000-0005-0000-0000-0000EC4D0000}"/>
    <cellStyle name="Normal 235 2 3 2 2" xfId="19949" xr:uid="{00000000-0005-0000-0000-0000ED4D0000}"/>
    <cellStyle name="Normal 235 2 3 2 2 2" xfId="19950" xr:uid="{00000000-0005-0000-0000-0000EE4D0000}"/>
    <cellStyle name="Normal 235 2 3 2 3" xfId="19951" xr:uid="{00000000-0005-0000-0000-0000EF4D0000}"/>
    <cellStyle name="Normal 235 2 3 2 3 2" xfId="19952" xr:uid="{00000000-0005-0000-0000-0000F04D0000}"/>
    <cellStyle name="Normal 235 2 3 2 3 2 2" xfId="19953" xr:uid="{00000000-0005-0000-0000-0000F14D0000}"/>
    <cellStyle name="Normal 235 2 3 2 3 3" xfId="19954" xr:uid="{00000000-0005-0000-0000-0000F24D0000}"/>
    <cellStyle name="Normal 235 2 3 2 4" xfId="19955" xr:uid="{00000000-0005-0000-0000-0000F34D0000}"/>
    <cellStyle name="Normal 235 2 3 3" xfId="19956" xr:uid="{00000000-0005-0000-0000-0000F44D0000}"/>
    <cellStyle name="Normal 235 2 3 3 2" xfId="19957" xr:uid="{00000000-0005-0000-0000-0000F54D0000}"/>
    <cellStyle name="Normal 235 2 3 3 2 2" xfId="19958" xr:uid="{00000000-0005-0000-0000-0000F64D0000}"/>
    <cellStyle name="Normal 235 2 3 3 3" xfId="19959" xr:uid="{00000000-0005-0000-0000-0000F74D0000}"/>
    <cellStyle name="Normal 235 2 3 4" xfId="19960" xr:uid="{00000000-0005-0000-0000-0000F84D0000}"/>
    <cellStyle name="Normal 235 2 3 4 2" xfId="19961" xr:uid="{00000000-0005-0000-0000-0000F94D0000}"/>
    <cellStyle name="Normal 235 2 3 4 2 2" xfId="19962" xr:uid="{00000000-0005-0000-0000-0000FA4D0000}"/>
    <cellStyle name="Normal 235 2 3 4 3" xfId="19963" xr:uid="{00000000-0005-0000-0000-0000FB4D0000}"/>
    <cellStyle name="Normal 235 2 3 5" xfId="19964" xr:uid="{00000000-0005-0000-0000-0000FC4D0000}"/>
    <cellStyle name="Normal 235 2 3 5 2" xfId="19965" xr:uid="{00000000-0005-0000-0000-0000FD4D0000}"/>
    <cellStyle name="Normal 235 2 3 5 2 2" xfId="19966" xr:uid="{00000000-0005-0000-0000-0000FE4D0000}"/>
    <cellStyle name="Normal 235 2 3 5 3" xfId="19967" xr:uid="{00000000-0005-0000-0000-0000FF4D0000}"/>
    <cellStyle name="Normal 235 2 3 6" xfId="19968" xr:uid="{00000000-0005-0000-0000-0000004E0000}"/>
    <cellStyle name="Normal 235 2 4" xfId="19969" xr:uid="{00000000-0005-0000-0000-0000014E0000}"/>
    <cellStyle name="Normal 235 2 4 2" xfId="19970" xr:uid="{00000000-0005-0000-0000-0000024E0000}"/>
    <cellStyle name="Normal 235 2 4 2 2" xfId="19971" xr:uid="{00000000-0005-0000-0000-0000034E0000}"/>
    <cellStyle name="Normal 235 2 4 3" xfId="19972" xr:uid="{00000000-0005-0000-0000-0000044E0000}"/>
    <cellStyle name="Normal 235 2 5" xfId="19973" xr:uid="{00000000-0005-0000-0000-0000054E0000}"/>
    <cellStyle name="Normal 235 2 5 2" xfId="19974" xr:uid="{00000000-0005-0000-0000-0000064E0000}"/>
    <cellStyle name="Normal 235 2 5 2 2" xfId="19975" xr:uid="{00000000-0005-0000-0000-0000074E0000}"/>
    <cellStyle name="Normal 235 2 5 3" xfId="19976" xr:uid="{00000000-0005-0000-0000-0000084E0000}"/>
    <cellStyle name="Normal 235 2 6" xfId="19977" xr:uid="{00000000-0005-0000-0000-0000094E0000}"/>
    <cellStyle name="Normal 235 2 6 2" xfId="19978" xr:uid="{00000000-0005-0000-0000-00000A4E0000}"/>
    <cellStyle name="Normal 235 2 6 2 2" xfId="19979" xr:uid="{00000000-0005-0000-0000-00000B4E0000}"/>
    <cellStyle name="Normal 235 2 6 3" xfId="19980" xr:uid="{00000000-0005-0000-0000-00000C4E0000}"/>
    <cellStyle name="Normal 235 2 7" xfId="19981" xr:uid="{00000000-0005-0000-0000-00000D4E0000}"/>
    <cellStyle name="Normal 235 3" xfId="19982" xr:uid="{00000000-0005-0000-0000-00000E4E0000}"/>
    <cellStyle name="Normal 235 3 2" xfId="19983" xr:uid="{00000000-0005-0000-0000-00000F4E0000}"/>
    <cellStyle name="Normal 235 3 2 2" xfId="19984" xr:uid="{00000000-0005-0000-0000-0000104E0000}"/>
    <cellStyle name="Normal 235 3 3" xfId="19985" xr:uid="{00000000-0005-0000-0000-0000114E0000}"/>
    <cellStyle name="Normal 235 3 3 2" xfId="19986" xr:uid="{00000000-0005-0000-0000-0000124E0000}"/>
    <cellStyle name="Normal 235 3 3 2 2" xfId="19987" xr:uid="{00000000-0005-0000-0000-0000134E0000}"/>
    <cellStyle name="Normal 235 3 3 3" xfId="19988" xr:uid="{00000000-0005-0000-0000-0000144E0000}"/>
    <cellStyle name="Normal 235 3 4" xfId="19989" xr:uid="{00000000-0005-0000-0000-0000154E0000}"/>
    <cellStyle name="Normal 235 3 4 2" xfId="19990" xr:uid="{00000000-0005-0000-0000-0000164E0000}"/>
    <cellStyle name="Normal 235 3 4 2 2" xfId="19991" xr:uid="{00000000-0005-0000-0000-0000174E0000}"/>
    <cellStyle name="Normal 235 3 4 3" xfId="19992" xr:uid="{00000000-0005-0000-0000-0000184E0000}"/>
    <cellStyle name="Normal 235 3 5" xfId="19993" xr:uid="{00000000-0005-0000-0000-0000194E0000}"/>
    <cellStyle name="Normal 235 4" xfId="19994" xr:uid="{00000000-0005-0000-0000-00001A4E0000}"/>
    <cellStyle name="Normal 235 4 2" xfId="19995" xr:uid="{00000000-0005-0000-0000-00001B4E0000}"/>
    <cellStyle name="Normal 235 4 2 2" xfId="19996" xr:uid="{00000000-0005-0000-0000-00001C4E0000}"/>
    <cellStyle name="Normal 235 4 2 2 2" xfId="19997" xr:uid="{00000000-0005-0000-0000-00001D4E0000}"/>
    <cellStyle name="Normal 235 4 2 3" xfId="19998" xr:uid="{00000000-0005-0000-0000-00001E4E0000}"/>
    <cellStyle name="Normal 235 4 2 3 2" xfId="19999" xr:uid="{00000000-0005-0000-0000-00001F4E0000}"/>
    <cellStyle name="Normal 235 4 2 3 2 2" xfId="20000" xr:uid="{00000000-0005-0000-0000-0000204E0000}"/>
    <cellStyle name="Normal 235 4 2 3 3" xfId="20001" xr:uid="{00000000-0005-0000-0000-0000214E0000}"/>
    <cellStyle name="Normal 235 4 2 4" xfId="20002" xr:uid="{00000000-0005-0000-0000-0000224E0000}"/>
    <cellStyle name="Normal 235 4 3" xfId="20003" xr:uid="{00000000-0005-0000-0000-0000234E0000}"/>
    <cellStyle name="Normal 235 4 3 2" xfId="20004" xr:uid="{00000000-0005-0000-0000-0000244E0000}"/>
    <cellStyle name="Normal 235 4 3 2 2" xfId="20005" xr:uid="{00000000-0005-0000-0000-0000254E0000}"/>
    <cellStyle name="Normal 235 4 3 3" xfId="20006" xr:uid="{00000000-0005-0000-0000-0000264E0000}"/>
    <cellStyle name="Normal 235 4 4" xfId="20007" xr:uid="{00000000-0005-0000-0000-0000274E0000}"/>
    <cellStyle name="Normal 235 4 4 2" xfId="20008" xr:uid="{00000000-0005-0000-0000-0000284E0000}"/>
    <cellStyle name="Normal 235 4 4 2 2" xfId="20009" xr:uid="{00000000-0005-0000-0000-0000294E0000}"/>
    <cellStyle name="Normal 235 4 4 3" xfId="20010" xr:uid="{00000000-0005-0000-0000-00002A4E0000}"/>
    <cellStyle name="Normal 235 4 5" xfId="20011" xr:uid="{00000000-0005-0000-0000-00002B4E0000}"/>
    <cellStyle name="Normal 235 4 5 2" xfId="20012" xr:uid="{00000000-0005-0000-0000-00002C4E0000}"/>
    <cellStyle name="Normal 235 4 5 2 2" xfId="20013" xr:uid="{00000000-0005-0000-0000-00002D4E0000}"/>
    <cellStyle name="Normal 235 4 5 3" xfId="20014" xr:uid="{00000000-0005-0000-0000-00002E4E0000}"/>
    <cellStyle name="Normal 235 4 6" xfId="20015" xr:uid="{00000000-0005-0000-0000-00002F4E0000}"/>
    <cellStyle name="Normal 235 5" xfId="20016" xr:uid="{00000000-0005-0000-0000-0000304E0000}"/>
    <cellStyle name="Normal 235 5 2" xfId="20017" xr:uid="{00000000-0005-0000-0000-0000314E0000}"/>
    <cellStyle name="Normal 235 5 2 2" xfId="20018" xr:uid="{00000000-0005-0000-0000-0000324E0000}"/>
    <cellStyle name="Normal 235 5 3" xfId="20019" xr:uid="{00000000-0005-0000-0000-0000334E0000}"/>
    <cellStyle name="Normal 235 6" xfId="20020" xr:uid="{00000000-0005-0000-0000-0000344E0000}"/>
    <cellStyle name="Normal 235 6 2" xfId="20021" xr:uid="{00000000-0005-0000-0000-0000354E0000}"/>
    <cellStyle name="Normal 235 6 2 2" xfId="20022" xr:uid="{00000000-0005-0000-0000-0000364E0000}"/>
    <cellStyle name="Normal 235 6 3" xfId="20023" xr:uid="{00000000-0005-0000-0000-0000374E0000}"/>
    <cellStyle name="Normal 235 7" xfId="20024" xr:uid="{00000000-0005-0000-0000-0000384E0000}"/>
    <cellStyle name="Normal 235 7 2" xfId="20025" xr:uid="{00000000-0005-0000-0000-0000394E0000}"/>
    <cellStyle name="Normal 235 7 2 2" xfId="20026" xr:uid="{00000000-0005-0000-0000-00003A4E0000}"/>
    <cellStyle name="Normal 235 7 3" xfId="20027" xr:uid="{00000000-0005-0000-0000-00003B4E0000}"/>
    <cellStyle name="Normal 235 8" xfId="20028" xr:uid="{00000000-0005-0000-0000-00003C4E0000}"/>
    <cellStyle name="Normal 236" xfId="20029" xr:uid="{00000000-0005-0000-0000-00003D4E0000}"/>
    <cellStyle name="Normal 236 2" xfId="20030" xr:uid="{00000000-0005-0000-0000-00003E4E0000}"/>
    <cellStyle name="Normal 236 2 2" xfId="20031" xr:uid="{00000000-0005-0000-0000-00003F4E0000}"/>
    <cellStyle name="Normal 236 2 2 2" xfId="20032" xr:uid="{00000000-0005-0000-0000-0000404E0000}"/>
    <cellStyle name="Normal 236 2 2 2 2" xfId="20033" xr:uid="{00000000-0005-0000-0000-0000414E0000}"/>
    <cellStyle name="Normal 236 2 2 3" xfId="20034" xr:uid="{00000000-0005-0000-0000-0000424E0000}"/>
    <cellStyle name="Normal 236 2 2 3 2" xfId="20035" xr:uid="{00000000-0005-0000-0000-0000434E0000}"/>
    <cellStyle name="Normal 236 2 2 3 2 2" xfId="20036" xr:uid="{00000000-0005-0000-0000-0000444E0000}"/>
    <cellStyle name="Normal 236 2 2 3 3" xfId="20037" xr:uid="{00000000-0005-0000-0000-0000454E0000}"/>
    <cellStyle name="Normal 236 2 2 4" xfId="20038" xr:uid="{00000000-0005-0000-0000-0000464E0000}"/>
    <cellStyle name="Normal 236 2 2 4 2" xfId="20039" xr:uid="{00000000-0005-0000-0000-0000474E0000}"/>
    <cellStyle name="Normal 236 2 2 4 2 2" xfId="20040" xr:uid="{00000000-0005-0000-0000-0000484E0000}"/>
    <cellStyle name="Normal 236 2 2 4 3" xfId="20041" xr:uid="{00000000-0005-0000-0000-0000494E0000}"/>
    <cellStyle name="Normal 236 2 2 5" xfId="20042" xr:uid="{00000000-0005-0000-0000-00004A4E0000}"/>
    <cellStyle name="Normal 236 2 3" xfId="20043" xr:uid="{00000000-0005-0000-0000-00004B4E0000}"/>
    <cellStyle name="Normal 236 2 3 2" xfId="20044" xr:uid="{00000000-0005-0000-0000-00004C4E0000}"/>
    <cellStyle name="Normal 236 2 3 2 2" xfId="20045" xr:uid="{00000000-0005-0000-0000-00004D4E0000}"/>
    <cellStyle name="Normal 236 2 3 2 2 2" xfId="20046" xr:uid="{00000000-0005-0000-0000-00004E4E0000}"/>
    <cellStyle name="Normal 236 2 3 2 3" xfId="20047" xr:uid="{00000000-0005-0000-0000-00004F4E0000}"/>
    <cellStyle name="Normal 236 2 3 2 3 2" xfId="20048" xr:uid="{00000000-0005-0000-0000-0000504E0000}"/>
    <cellStyle name="Normal 236 2 3 2 3 2 2" xfId="20049" xr:uid="{00000000-0005-0000-0000-0000514E0000}"/>
    <cellStyle name="Normal 236 2 3 2 3 3" xfId="20050" xr:uid="{00000000-0005-0000-0000-0000524E0000}"/>
    <cellStyle name="Normal 236 2 3 2 4" xfId="20051" xr:uid="{00000000-0005-0000-0000-0000534E0000}"/>
    <cellStyle name="Normal 236 2 3 3" xfId="20052" xr:uid="{00000000-0005-0000-0000-0000544E0000}"/>
    <cellStyle name="Normal 236 2 3 3 2" xfId="20053" xr:uid="{00000000-0005-0000-0000-0000554E0000}"/>
    <cellStyle name="Normal 236 2 3 3 2 2" xfId="20054" xr:uid="{00000000-0005-0000-0000-0000564E0000}"/>
    <cellStyle name="Normal 236 2 3 3 3" xfId="20055" xr:uid="{00000000-0005-0000-0000-0000574E0000}"/>
    <cellStyle name="Normal 236 2 3 4" xfId="20056" xr:uid="{00000000-0005-0000-0000-0000584E0000}"/>
    <cellStyle name="Normal 236 2 3 4 2" xfId="20057" xr:uid="{00000000-0005-0000-0000-0000594E0000}"/>
    <cellStyle name="Normal 236 2 3 4 2 2" xfId="20058" xr:uid="{00000000-0005-0000-0000-00005A4E0000}"/>
    <cellStyle name="Normal 236 2 3 4 3" xfId="20059" xr:uid="{00000000-0005-0000-0000-00005B4E0000}"/>
    <cellStyle name="Normal 236 2 3 5" xfId="20060" xr:uid="{00000000-0005-0000-0000-00005C4E0000}"/>
    <cellStyle name="Normal 236 2 3 5 2" xfId="20061" xr:uid="{00000000-0005-0000-0000-00005D4E0000}"/>
    <cellStyle name="Normal 236 2 3 5 2 2" xfId="20062" xr:uid="{00000000-0005-0000-0000-00005E4E0000}"/>
    <cellStyle name="Normal 236 2 3 5 3" xfId="20063" xr:uid="{00000000-0005-0000-0000-00005F4E0000}"/>
    <cellStyle name="Normal 236 2 3 6" xfId="20064" xr:uid="{00000000-0005-0000-0000-0000604E0000}"/>
    <cellStyle name="Normal 236 2 4" xfId="20065" xr:uid="{00000000-0005-0000-0000-0000614E0000}"/>
    <cellStyle name="Normal 236 2 4 2" xfId="20066" xr:uid="{00000000-0005-0000-0000-0000624E0000}"/>
    <cellStyle name="Normal 236 2 4 2 2" xfId="20067" xr:uid="{00000000-0005-0000-0000-0000634E0000}"/>
    <cellStyle name="Normal 236 2 4 3" xfId="20068" xr:uid="{00000000-0005-0000-0000-0000644E0000}"/>
    <cellStyle name="Normal 236 2 5" xfId="20069" xr:uid="{00000000-0005-0000-0000-0000654E0000}"/>
    <cellStyle name="Normal 236 2 5 2" xfId="20070" xr:uid="{00000000-0005-0000-0000-0000664E0000}"/>
    <cellStyle name="Normal 236 2 5 2 2" xfId="20071" xr:uid="{00000000-0005-0000-0000-0000674E0000}"/>
    <cellStyle name="Normal 236 2 5 3" xfId="20072" xr:uid="{00000000-0005-0000-0000-0000684E0000}"/>
    <cellStyle name="Normal 236 2 6" xfId="20073" xr:uid="{00000000-0005-0000-0000-0000694E0000}"/>
    <cellStyle name="Normal 236 2 6 2" xfId="20074" xr:uid="{00000000-0005-0000-0000-00006A4E0000}"/>
    <cellStyle name="Normal 236 2 6 2 2" xfId="20075" xr:uid="{00000000-0005-0000-0000-00006B4E0000}"/>
    <cellStyle name="Normal 236 2 6 3" xfId="20076" xr:uid="{00000000-0005-0000-0000-00006C4E0000}"/>
    <cellStyle name="Normal 236 2 7" xfId="20077" xr:uid="{00000000-0005-0000-0000-00006D4E0000}"/>
    <cellStyle name="Normal 236 3" xfId="20078" xr:uid="{00000000-0005-0000-0000-00006E4E0000}"/>
    <cellStyle name="Normal 236 3 2" xfId="20079" xr:uid="{00000000-0005-0000-0000-00006F4E0000}"/>
    <cellStyle name="Normal 236 3 2 2" xfId="20080" xr:uid="{00000000-0005-0000-0000-0000704E0000}"/>
    <cellStyle name="Normal 236 3 3" xfId="20081" xr:uid="{00000000-0005-0000-0000-0000714E0000}"/>
    <cellStyle name="Normal 236 3 3 2" xfId="20082" xr:uid="{00000000-0005-0000-0000-0000724E0000}"/>
    <cellStyle name="Normal 236 3 3 2 2" xfId="20083" xr:uid="{00000000-0005-0000-0000-0000734E0000}"/>
    <cellStyle name="Normal 236 3 3 3" xfId="20084" xr:uid="{00000000-0005-0000-0000-0000744E0000}"/>
    <cellStyle name="Normal 236 3 4" xfId="20085" xr:uid="{00000000-0005-0000-0000-0000754E0000}"/>
    <cellStyle name="Normal 236 3 4 2" xfId="20086" xr:uid="{00000000-0005-0000-0000-0000764E0000}"/>
    <cellStyle name="Normal 236 3 4 2 2" xfId="20087" xr:uid="{00000000-0005-0000-0000-0000774E0000}"/>
    <cellStyle name="Normal 236 3 4 3" xfId="20088" xr:uid="{00000000-0005-0000-0000-0000784E0000}"/>
    <cellStyle name="Normal 236 3 5" xfId="20089" xr:uid="{00000000-0005-0000-0000-0000794E0000}"/>
    <cellStyle name="Normal 236 4" xfId="20090" xr:uid="{00000000-0005-0000-0000-00007A4E0000}"/>
    <cellStyle name="Normal 236 4 2" xfId="20091" xr:uid="{00000000-0005-0000-0000-00007B4E0000}"/>
    <cellStyle name="Normal 236 4 2 2" xfId="20092" xr:uid="{00000000-0005-0000-0000-00007C4E0000}"/>
    <cellStyle name="Normal 236 4 2 2 2" xfId="20093" xr:uid="{00000000-0005-0000-0000-00007D4E0000}"/>
    <cellStyle name="Normal 236 4 2 3" xfId="20094" xr:uid="{00000000-0005-0000-0000-00007E4E0000}"/>
    <cellStyle name="Normal 236 4 2 3 2" xfId="20095" xr:uid="{00000000-0005-0000-0000-00007F4E0000}"/>
    <cellStyle name="Normal 236 4 2 3 2 2" xfId="20096" xr:uid="{00000000-0005-0000-0000-0000804E0000}"/>
    <cellStyle name="Normal 236 4 2 3 3" xfId="20097" xr:uid="{00000000-0005-0000-0000-0000814E0000}"/>
    <cellStyle name="Normal 236 4 2 4" xfId="20098" xr:uid="{00000000-0005-0000-0000-0000824E0000}"/>
    <cellStyle name="Normal 236 4 3" xfId="20099" xr:uid="{00000000-0005-0000-0000-0000834E0000}"/>
    <cellStyle name="Normal 236 4 3 2" xfId="20100" xr:uid="{00000000-0005-0000-0000-0000844E0000}"/>
    <cellStyle name="Normal 236 4 3 2 2" xfId="20101" xr:uid="{00000000-0005-0000-0000-0000854E0000}"/>
    <cellStyle name="Normal 236 4 3 3" xfId="20102" xr:uid="{00000000-0005-0000-0000-0000864E0000}"/>
    <cellStyle name="Normal 236 4 4" xfId="20103" xr:uid="{00000000-0005-0000-0000-0000874E0000}"/>
    <cellStyle name="Normal 236 4 4 2" xfId="20104" xr:uid="{00000000-0005-0000-0000-0000884E0000}"/>
    <cellStyle name="Normal 236 4 4 2 2" xfId="20105" xr:uid="{00000000-0005-0000-0000-0000894E0000}"/>
    <cellStyle name="Normal 236 4 4 3" xfId="20106" xr:uid="{00000000-0005-0000-0000-00008A4E0000}"/>
    <cellStyle name="Normal 236 4 5" xfId="20107" xr:uid="{00000000-0005-0000-0000-00008B4E0000}"/>
    <cellStyle name="Normal 236 4 5 2" xfId="20108" xr:uid="{00000000-0005-0000-0000-00008C4E0000}"/>
    <cellStyle name="Normal 236 4 5 2 2" xfId="20109" xr:uid="{00000000-0005-0000-0000-00008D4E0000}"/>
    <cellStyle name="Normal 236 4 5 3" xfId="20110" xr:uid="{00000000-0005-0000-0000-00008E4E0000}"/>
    <cellStyle name="Normal 236 4 6" xfId="20111" xr:uid="{00000000-0005-0000-0000-00008F4E0000}"/>
    <cellStyle name="Normal 236 5" xfId="20112" xr:uid="{00000000-0005-0000-0000-0000904E0000}"/>
    <cellStyle name="Normal 236 5 2" xfId="20113" xr:uid="{00000000-0005-0000-0000-0000914E0000}"/>
    <cellStyle name="Normal 236 5 2 2" xfId="20114" xr:uid="{00000000-0005-0000-0000-0000924E0000}"/>
    <cellStyle name="Normal 236 5 3" xfId="20115" xr:uid="{00000000-0005-0000-0000-0000934E0000}"/>
    <cellStyle name="Normal 236 6" xfId="20116" xr:uid="{00000000-0005-0000-0000-0000944E0000}"/>
    <cellStyle name="Normal 236 6 2" xfId="20117" xr:uid="{00000000-0005-0000-0000-0000954E0000}"/>
    <cellStyle name="Normal 236 6 2 2" xfId="20118" xr:uid="{00000000-0005-0000-0000-0000964E0000}"/>
    <cellStyle name="Normal 236 6 3" xfId="20119" xr:uid="{00000000-0005-0000-0000-0000974E0000}"/>
    <cellStyle name="Normal 236 7" xfId="20120" xr:uid="{00000000-0005-0000-0000-0000984E0000}"/>
    <cellStyle name="Normal 236 7 2" xfId="20121" xr:uid="{00000000-0005-0000-0000-0000994E0000}"/>
    <cellStyle name="Normal 236 7 2 2" xfId="20122" xr:uid="{00000000-0005-0000-0000-00009A4E0000}"/>
    <cellStyle name="Normal 236 7 3" xfId="20123" xr:uid="{00000000-0005-0000-0000-00009B4E0000}"/>
    <cellStyle name="Normal 236 8" xfId="20124" xr:uid="{00000000-0005-0000-0000-00009C4E0000}"/>
    <cellStyle name="Normal 237" xfId="20125" xr:uid="{00000000-0005-0000-0000-00009D4E0000}"/>
    <cellStyle name="Normal 237 2" xfId="20126" xr:uid="{00000000-0005-0000-0000-00009E4E0000}"/>
    <cellStyle name="Normal 237 2 2" xfId="20127" xr:uid="{00000000-0005-0000-0000-00009F4E0000}"/>
    <cellStyle name="Normal 237 2 2 2" xfId="20128" xr:uid="{00000000-0005-0000-0000-0000A04E0000}"/>
    <cellStyle name="Normal 237 2 2 2 2" xfId="20129" xr:uid="{00000000-0005-0000-0000-0000A14E0000}"/>
    <cellStyle name="Normal 237 2 2 3" xfId="20130" xr:uid="{00000000-0005-0000-0000-0000A24E0000}"/>
    <cellStyle name="Normal 237 2 2 3 2" xfId="20131" xr:uid="{00000000-0005-0000-0000-0000A34E0000}"/>
    <cellStyle name="Normal 237 2 2 3 2 2" xfId="20132" xr:uid="{00000000-0005-0000-0000-0000A44E0000}"/>
    <cellStyle name="Normal 237 2 2 3 3" xfId="20133" xr:uid="{00000000-0005-0000-0000-0000A54E0000}"/>
    <cellStyle name="Normal 237 2 2 4" xfId="20134" xr:uid="{00000000-0005-0000-0000-0000A64E0000}"/>
    <cellStyle name="Normal 237 2 2 4 2" xfId="20135" xr:uid="{00000000-0005-0000-0000-0000A74E0000}"/>
    <cellStyle name="Normal 237 2 2 4 2 2" xfId="20136" xr:uid="{00000000-0005-0000-0000-0000A84E0000}"/>
    <cellStyle name="Normal 237 2 2 4 3" xfId="20137" xr:uid="{00000000-0005-0000-0000-0000A94E0000}"/>
    <cellStyle name="Normal 237 2 2 5" xfId="20138" xr:uid="{00000000-0005-0000-0000-0000AA4E0000}"/>
    <cellStyle name="Normal 237 2 3" xfId="20139" xr:uid="{00000000-0005-0000-0000-0000AB4E0000}"/>
    <cellStyle name="Normal 237 2 3 2" xfId="20140" xr:uid="{00000000-0005-0000-0000-0000AC4E0000}"/>
    <cellStyle name="Normal 237 2 3 2 2" xfId="20141" xr:uid="{00000000-0005-0000-0000-0000AD4E0000}"/>
    <cellStyle name="Normal 237 2 3 2 2 2" xfId="20142" xr:uid="{00000000-0005-0000-0000-0000AE4E0000}"/>
    <cellStyle name="Normal 237 2 3 2 3" xfId="20143" xr:uid="{00000000-0005-0000-0000-0000AF4E0000}"/>
    <cellStyle name="Normal 237 2 3 2 3 2" xfId="20144" xr:uid="{00000000-0005-0000-0000-0000B04E0000}"/>
    <cellStyle name="Normal 237 2 3 2 3 2 2" xfId="20145" xr:uid="{00000000-0005-0000-0000-0000B14E0000}"/>
    <cellStyle name="Normal 237 2 3 2 3 3" xfId="20146" xr:uid="{00000000-0005-0000-0000-0000B24E0000}"/>
    <cellStyle name="Normal 237 2 3 2 4" xfId="20147" xr:uid="{00000000-0005-0000-0000-0000B34E0000}"/>
    <cellStyle name="Normal 237 2 3 3" xfId="20148" xr:uid="{00000000-0005-0000-0000-0000B44E0000}"/>
    <cellStyle name="Normal 237 2 3 3 2" xfId="20149" xr:uid="{00000000-0005-0000-0000-0000B54E0000}"/>
    <cellStyle name="Normal 237 2 3 3 2 2" xfId="20150" xr:uid="{00000000-0005-0000-0000-0000B64E0000}"/>
    <cellStyle name="Normal 237 2 3 3 3" xfId="20151" xr:uid="{00000000-0005-0000-0000-0000B74E0000}"/>
    <cellStyle name="Normal 237 2 3 4" xfId="20152" xr:uid="{00000000-0005-0000-0000-0000B84E0000}"/>
    <cellStyle name="Normal 237 2 3 4 2" xfId="20153" xr:uid="{00000000-0005-0000-0000-0000B94E0000}"/>
    <cellStyle name="Normal 237 2 3 4 2 2" xfId="20154" xr:uid="{00000000-0005-0000-0000-0000BA4E0000}"/>
    <cellStyle name="Normal 237 2 3 4 3" xfId="20155" xr:uid="{00000000-0005-0000-0000-0000BB4E0000}"/>
    <cellStyle name="Normal 237 2 3 5" xfId="20156" xr:uid="{00000000-0005-0000-0000-0000BC4E0000}"/>
    <cellStyle name="Normal 237 2 3 5 2" xfId="20157" xr:uid="{00000000-0005-0000-0000-0000BD4E0000}"/>
    <cellStyle name="Normal 237 2 3 5 2 2" xfId="20158" xr:uid="{00000000-0005-0000-0000-0000BE4E0000}"/>
    <cellStyle name="Normal 237 2 3 5 3" xfId="20159" xr:uid="{00000000-0005-0000-0000-0000BF4E0000}"/>
    <cellStyle name="Normal 237 2 3 6" xfId="20160" xr:uid="{00000000-0005-0000-0000-0000C04E0000}"/>
    <cellStyle name="Normal 237 2 4" xfId="20161" xr:uid="{00000000-0005-0000-0000-0000C14E0000}"/>
    <cellStyle name="Normal 237 2 4 2" xfId="20162" xr:uid="{00000000-0005-0000-0000-0000C24E0000}"/>
    <cellStyle name="Normal 237 2 4 2 2" xfId="20163" xr:uid="{00000000-0005-0000-0000-0000C34E0000}"/>
    <cellStyle name="Normal 237 2 4 3" xfId="20164" xr:uid="{00000000-0005-0000-0000-0000C44E0000}"/>
    <cellStyle name="Normal 237 2 5" xfId="20165" xr:uid="{00000000-0005-0000-0000-0000C54E0000}"/>
    <cellStyle name="Normal 237 2 5 2" xfId="20166" xr:uid="{00000000-0005-0000-0000-0000C64E0000}"/>
    <cellStyle name="Normal 237 2 5 2 2" xfId="20167" xr:uid="{00000000-0005-0000-0000-0000C74E0000}"/>
    <cellStyle name="Normal 237 2 5 3" xfId="20168" xr:uid="{00000000-0005-0000-0000-0000C84E0000}"/>
    <cellStyle name="Normal 237 2 6" xfId="20169" xr:uid="{00000000-0005-0000-0000-0000C94E0000}"/>
    <cellStyle name="Normal 237 2 6 2" xfId="20170" xr:uid="{00000000-0005-0000-0000-0000CA4E0000}"/>
    <cellStyle name="Normal 237 2 6 2 2" xfId="20171" xr:uid="{00000000-0005-0000-0000-0000CB4E0000}"/>
    <cellStyle name="Normal 237 2 6 3" xfId="20172" xr:uid="{00000000-0005-0000-0000-0000CC4E0000}"/>
    <cellStyle name="Normal 237 2 7" xfId="20173" xr:uid="{00000000-0005-0000-0000-0000CD4E0000}"/>
    <cellStyle name="Normal 237 3" xfId="20174" xr:uid="{00000000-0005-0000-0000-0000CE4E0000}"/>
    <cellStyle name="Normal 237 3 2" xfId="20175" xr:uid="{00000000-0005-0000-0000-0000CF4E0000}"/>
    <cellStyle name="Normal 237 3 2 2" xfId="20176" xr:uid="{00000000-0005-0000-0000-0000D04E0000}"/>
    <cellStyle name="Normal 237 3 3" xfId="20177" xr:uid="{00000000-0005-0000-0000-0000D14E0000}"/>
    <cellStyle name="Normal 237 3 3 2" xfId="20178" xr:uid="{00000000-0005-0000-0000-0000D24E0000}"/>
    <cellStyle name="Normal 237 3 3 2 2" xfId="20179" xr:uid="{00000000-0005-0000-0000-0000D34E0000}"/>
    <cellStyle name="Normal 237 3 3 3" xfId="20180" xr:uid="{00000000-0005-0000-0000-0000D44E0000}"/>
    <cellStyle name="Normal 237 3 4" xfId="20181" xr:uid="{00000000-0005-0000-0000-0000D54E0000}"/>
    <cellStyle name="Normal 237 3 4 2" xfId="20182" xr:uid="{00000000-0005-0000-0000-0000D64E0000}"/>
    <cellStyle name="Normal 237 3 4 2 2" xfId="20183" xr:uid="{00000000-0005-0000-0000-0000D74E0000}"/>
    <cellStyle name="Normal 237 3 4 3" xfId="20184" xr:uid="{00000000-0005-0000-0000-0000D84E0000}"/>
    <cellStyle name="Normal 237 3 5" xfId="20185" xr:uid="{00000000-0005-0000-0000-0000D94E0000}"/>
    <cellStyle name="Normal 237 4" xfId="20186" xr:uid="{00000000-0005-0000-0000-0000DA4E0000}"/>
    <cellStyle name="Normal 237 4 2" xfId="20187" xr:uid="{00000000-0005-0000-0000-0000DB4E0000}"/>
    <cellStyle name="Normal 237 4 2 2" xfId="20188" xr:uid="{00000000-0005-0000-0000-0000DC4E0000}"/>
    <cellStyle name="Normal 237 4 2 2 2" xfId="20189" xr:uid="{00000000-0005-0000-0000-0000DD4E0000}"/>
    <cellStyle name="Normal 237 4 2 3" xfId="20190" xr:uid="{00000000-0005-0000-0000-0000DE4E0000}"/>
    <cellStyle name="Normal 237 4 2 3 2" xfId="20191" xr:uid="{00000000-0005-0000-0000-0000DF4E0000}"/>
    <cellStyle name="Normal 237 4 2 3 2 2" xfId="20192" xr:uid="{00000000-0005-0000-0000-0000E04E0000}"/>
    <cellStyle name="Normal 237 4 2 3 3" xfId="20193" xr:uid="{00000000-0005-0000-0000-0000E14E0000}"/>
    <cellStyle name="Normal 237 4 2 4" xfId="20194" xr:uid="{00000000-0005-0000-0000-0000E24E0000}"/>
    <cellStyle name="Normal 237 4 3" xfId="20195" xr:uid="{00000000-0005-0000-0000-0000E34E0000}"/>
    <cellStyle name="Normal 237 4 3 2" xfId="20196" xr:uid="{00000000-0005-0000-0000-0000E44E0000}"/>
    <cellStyle name="Normal 237 4 3 2 2" xfId="20197" xr:uid="{00000000-0005-0000-0000-0000E54E0000}"/>
    <cellStyle name="Normal 237 4 3 3" xfId="20198" xr:uid="{00000000-0005-0000-0000-0000E64E0000}"/>
    <cellStyle name="Normal 237 4 4" xfId="20199" xr:uid="{00000000-0005-0000-0000-0000E74E0000}"/>
    <cellStyle name="Normal 237 4 4 2" xfId="20200" xr:uid="{00000000-0005-0000-0000-0000E84E0000}"/>
    <cellStyle name="Normal 237 4 4 2 2" xfId="20201" xr:uid="{00000000-0005-0000-0000-0000E94E0000}"/>
    <cellStyle name="Normal 237 4 4 3" xfId="20202" xr:uid="{00000000-0005-0000-0000-0000EA4E0000}"/>
    <cellStyle name="Normal 237 4 5" xfId="20203" xr:uid="{00000000-0005-0000-0000-0000EB4E0000}"/>
    <cellStyle name="Normal 237 4 5 2" xfId="20204" xr:uid="{00000000-0005-0000-0000-0000EC4E0000}"/>
    <cellStyle name="Normal 237 4 5 2 2" xfId="20205" xr:uid="{00000000-0005-0000-0000-0000ED4E0000}"/>
    <cellStyle name="Normal 237 4 5 3" xfId="20206" xr:uid="{00000000-0005-0000-0000-0000EE4E0000}"/>
    <cellStyle name="Normal 237 4 6" xfId="20207" xr:uid="{00000000-0005-0000-0000-0000EF4E0000}"/>
    <cellStyle name="Normal 237 5" xfId="20208" xr:uid="{00000000-0005-0000-0000-0000F04E0000}"/>
    <cellStyle name="Normal 237 5 2" xfId="20209" xr:uid="{00000000-0005-0000-0000-0000F14E0000}"/>
    <cellStyle name="Normal 237 5 2 2" xfId="20210" xr:uid="{00000000-0005-0000-0000-0000F24E0000}"/>
    <cellStyle name="Normal 237 5 3" xfId="20211" xr:uid="{00000000-0005-0000-0000-0000F34E0000}"/>
    <cellStyle name="Normal 237 6" xfId="20212" xr:uid="{00000000-0005-0000-0000-0000F44E0000}"/>
    <cellStyle name="Normal 237 6 2" xfId="20213" xr:uid="{00000000-0005-0000-0000-0000F54E0000}"/>
    <cellStyle name="Normal 237 6 2 2" xfId="20214" xr:uid="{00000000-0005-0000-0000-0000F64E0000}"/>
    <cellStyle name="Normal 237 6 3" xfId="20215" xr:uid="{00000000-0005-0000-0000-0000F74E0000}"/>
    <cellStyle name="Normal 237 7" xfId="20216" xr:uid="{00000000-0005-0000-0000-0000F84E0000}"/>
    <cellStyle name="Normal 237 7 2" xfId="20217" xr:uid="{00000000-0005-0000-0000-0000F94E0000}"/>
    <cellStyle name="Normal 237 7 2 2" xfId="20218" xr:uid="{00000000-0005-0000-0000-0000FA4E0000}"/>
    <cellStyle name="Normal 237 7 3" xfId="20219" xr:uid="{00000000-0005-0000-0000-0000FB4E0000}"/>
    <cellStyle name="Normal 237 8" xfId="20220" xr:uid="{00000000-0005-0000-0000-0000FC4E0000}"/>
    <cellStyle name="Normal 238" xfId="20221" xr:uid="{00000000-0005-0000-0000-0000FD4E0000}"/>
    <cellStyle name="Normal 238 2" xfId="20222" xr:uid="{00000000-0005-0000-0000-0000FE4E0000}"/>
    <cellStyle name="Normal 238 2 2" xfId="20223" xr:uid="{00000000-0005-0000-0000-0000FF4E0000}"/>
    <cellStyle name="Normal 238 2 2 2" xfId="20224" xr:uid="{00000000-0005-0000-0000-0000004F0000}"/>
    <cellStyle name="Normal 238 2 2 2 2" xfId="20225" xr:uid="{00000000-0005-0000-0000-0000014F0000}"/>
    <cellStyle name="Normal 238 2 2 3" xfId="20226" xr:uid="{00000000-0005-0000-0000-0000024F0000}"/>
    <cellStyle name="Normal 238 2 2 3 2" xfId="20227" xr:uid="{00000000-0005-0000-0000-0000034F0000}"/>
    <cellStyle name="Normal 238 2 2 3 2 2" xfId="20228" xr:uid="{00000000-0005-0000-0000-0000044F0000}"/>
    <cellStyle name="Normal 238 2 2 3 3" xfId="20229" xr:uid="{00000000-0005-0000-0000-0000054F0000}"/>
    <cellStyle name="Normal 238 2 2 4" xfId="20230" xr:uid="{00000000-0005-0000-0000-0000064F0000}"/>
    <cellStyle name="Normal 238 2 2 4 2" xfId="20231" xr:uid="{00000000-0005-0000-0000-0000074F0000}"/>
    <cellStyle name="Normal 238 2 2 4 2 2" xfId="20232" xr:uid="{00000000-0005-0000-0000-0000084F0000}"/>
    <cellStyle name="Normal 238 2 2 4 3" xfId="20233" xr:uid="{00000000-0005-0000-0000-0000094F0000}"/>
    <cellStyle name="Normal 238 2 2 5" xfId="20234" xr:uid="{00000000-0005-0000-0000-00000A4F0000}"/>
    <cellStyle name="Normal 238 2 3" xfId="20235" xr:uid="{00000000-0005-0000-0000-00000B4F0000}"/>
    <cellStyle name="Normal 238 2 3 2" xfId="20236" xr:uid="{00000000-0005-0000-0000-00000C4F0000}"/>
    <cellStyle name="Normal 238 2 3 2 2" xfId="20237" xr:uid="{00000000-0005-0000-0000-00000D4F0000}"/>
    <cellStyle name="Normal 238 2 3 2 2 2" xfId="20238" xr:uid="{00000000-0005-0000-0000-00000E4F0000}"/>
    <cellStyle name="Normal 238 2 3 2 3" xfId="20239" xr:uid="{00000000-0005-0000-0000-00000F4F0000}"/>
    <cellStyle name="Normal 238 2 3 2 3 2" xfId="20240" xr:uid="{00000000-0005-0000-0000-0000104F0000}"/>
    <cellStyle name="Normal 238 2 3 2 3 2 2" xfId="20241" xr:uid="{00000000-0005-0000-0000-0000114F0000}"/>
    <cellStyle name="Normal 238 2 3 2 3 3" xfId="20242" xr:uid="{00000000-0005-0000-0000-0000124F0000}"/>
    <cellStyle name="Normal 238 2 3 2 4" xfId="20243" xr:uid="{00000000-0005-0000-0000-0000134F0000}"/>
    <cellStyle name="Normal 238 2 3 3" xfId="20244" xr:uid="{00000000-0005-0000-0000-0000144F0000}"/>
    <cellStyle name="Normal 238 2 3 3 2" xfId="20245" xr:uid="{00000000-0005-0000-0000-0000154F0000}"/>
    <cellStyle name="Normal 238 2 3 3 2 2" xfId="20246" xr:uid="{00000000-0005-0000-0000-0000164F0000}"/>
    <cellStyle name="Normal 238 2 3 3 3" xfId="20247" xr:uid="{00000000-0005-0000-0000-0000174F0000}"/>
    <cellStyle name="Normal 238 2 3 4" xfId="20248" xr:uid="{00000000-0005-0000-0000-0000184F0000}"/>
    <cellStyle name="Normal 238 2 3 4 2" xfId="20249" xr:uid="{00000000-0005-0000-0000-0000194F0000}"/>
    <cellStyle name="Normal 238 2 3 4 2 2" xfId="20250" xr:uid="{00000000-0005-0000-0000-00001A4F0000}"/>
    <cellStyle name="Normal 238 2 3 4 3" xfId="20251" xr:uid="{00000000-0005-0000-0000-00001B4F0000}"/>
    <cellStyle name="Normal 238 2 3 5" xfId="20252" xr:uid="{00000000-0005-0000-0000-00001C4F0000}"/>
    <cellStyle name="Normal 238 2 3 5 2" xfId="20253" xr:uid="{00000000-0005-0000-0000-00001D4F0000}"/>
    <cellStyle name="Normal 238 2 3 5 2 2" xfId="20254" xr:uid="{00000000-0005-0000-0000-00001E4F0000}"/>
    <cellStyle name="Normal 238 2 3 5 3" xfId="20255" xr:uid="{00000000-0005-0000-0000-00001F4F0000}"/>
    <cellStyle name="Normal 238 2 3 6" xfId="20256" xr:uid="{00000000-0005-0000-0000-0000204F0000}"/>
    <cellStyle name="Normal 238 2 4" xfId="20257" xr:uid="{00000000-0005-0000-0000-0000214F0000}"/>
    <cellStyle name="Normal 238 2 4 2" xfId="20258" xr:uid="{00000000-0005-0000-0000-0000224F0000}"/>
    <cellStyle name="Normal 238 2 4 2 2" xfId="20259" xr:uid="{00000000-0005-0000-0000-0000234F0000}"/>
    <cellStyle name="Normal 238 2 4 3" xfId="20260" xr:uid="{00000000-0005-0000-0000-0000244F0000}"/>
    <cellStyle name="Normal 238 2 5" xfId="20261" xr:uid="{00000000-0005-0000-0000-0000254F0000}"/>
    <cellStyle name="Normal 238 2 5 2" xfId="20262" xr:uid="{00000000-0005-0000-0000-0000264F0000}"/>
    <cellStyle name="Normal 238 2 5 2 2" xfId="20263" xr:uid="{00000000-0005-0000-0000-0000274F0000}"/>
    <cellStyle name="Normal 238 2 5 3" xfId="20264" xr:uid="{00000000-0005-0000-0000-0000284F0000}"/>
    <cellStyle name="Normal 238 2 6" xfId="20265" xr:uid="{00000000-0005-0000-0000-0000294F0000}"/>
    <cellStyle name="Normal 238 2 6 2" xfId="20266" xr:uid="{00000000-0005-0000-0000-00002A4F0000}"/>
    <cellStyle name="Normal 238 2 6 2 2" xfId="20267" xr:uid="{00000000-0005-0000-0000-00002B4F0000}"/>
    <cellStyle name="Normal 238 2 6 3" xfId="20268" xr:uid="{00000000-0005-0000-0000-00002C4F0000}"/>
    <cellStyle name="Normal 238 2 7" xfId="20269" xr:uid="{00000000-0005-0000-0000-00002D4F0000}"/>
    <cellStyle name="Normal 238 3" xfId="20270" xr:uid="{00000000-0005-0000-0000-00002E4F0000}"/>
    <cellStyle name="Normal 238 3 2" xfId="20271" xr:uid="{00000000-0005-0000-0000-00002F4F0000}"/>
    <cellStyle name="Normal 238 3 2 2" xfId="20272" xr:uid="{00000000-0005-0000-0000-0000304F0000}"/>
    <cellStyle name="Normal 238 3 3" xfId="20273" xr:uid="{00000000-0005-0000-0000-0000314F0000}"/>
    <cellStyle name="Normal 238 3 3 2" xfId="20274" xr:uid="{00000000-0005-0000-0000-0000324F0000}"/>
    <cellStyle name="Normal 238 3 3 2 2" xfId="20275" xr:uid="{00000000-0005-0000-0000-0000334F0000}"/>
    <cellStyle name="Normal 238 3 3 3" xfId="20276" xr:uid="{00000000-0005-0000-0000-0000344F0000}"/>
    <cellStyle name="Normal 238 3 4" xfId="20277" xr:uid="{00000000-0005-0000-0000-0000354F0000}"/>
    <cellStyle name="Normal 238 3 4 2" xfId="20278" xr:uid="{00000000-0005-0000-0000-0000364F0000}"/>
    <cellStyle name="Normal 238 3 4 2 2" xfId="20279" xr:uid="{00000000-0005-0000-0000-0000374F0000}"/>
    <cellStyle name="Normal 238 3 4 3" xfId="20280" xr:uid="{00000000-0005-0000-0000-0000384F0000}"/>
    <cellStyle name="Normal 238 3 5" xfId="20281" xr:uid="{00000000-0005-0000-0000-0000394F0000}"/>
    <cellStyle name="Normal 238 4" xfId="20282" xr:uid="{00000000-0005-0000-0000-00003A4F0000}"/>
    <cellStyle name="Normal 238 4 2" xfId="20283" xr:uid="{00000000-0005-0000-0000-00003B4F0000}"/>
    <cellStyle name="Normal 238 4 2 2" xfId="20284" xr:uid="{00000000-0005-0000-0000-00003C4F0000}"/>
    <cellStyle name="Normal 238 4 2 2 2" xfId="20285" xr:uid="{00000000-0005-0000-0000-00003D4F0000}"/>
    <cellStyle name="Normal 238 4 2 3" xfId="20286" xr:uid="{00000000-0005-0000-0000-00003E4F0000}"/>
    <cellStyle name="Normal 238 4 2 3 2" xfId="20287" xr:uid="{00000000-0005-0000-0000-00003F4F0000}"/>
    <cellStyle name="Normal 238 4 2 3 2 2" xfId="20288" xr:uid="{00000000-0005-0000-0000-0000404F0000}"/>
    <cellStyle name="Normal 238 4 2 3 3" xfId="20289" xr:uid="{00000000-0005-0000-0000-0000414F0000}"/>
    <cellStyle name="Normal 238 4 2 4" xfId="20290" xr:uid="{00000000-0005-0000-0000-0000424F0000}"/>
    <cellStyle name="Normal 238 4 3" xfId="20291" xr:uid="{00000000-0005-0000-0000-0000434F0000}"/>
    <cellStyle name="Normal 238 4 3 2" xfId="20292" xr:uid="{00000000-0005-0000-0000-0000444F0000}"/>
    <cellStyle name="Normal 238 4 3 2 2" xfId="20293" xr:uid="{00000000-0005-0000-0000-0000454F0000}"/>
    <cellStyle name="Normal 238 4 3 3" xfId="20294" xr:uid="{00000000-0005-0000-0000-0000464F0000}"/>
    <cellStyle name="Normal 238 4 4" xfId="20295" xr:uid="{00000000-0005-0000-0000-0000474F0000}"/>
    <cellStyle name="Normal 238 4 4 2" xfId="20296" xr:uid="{00000000-0005-0000-0000-0000484F0000}"/>
    <cellStyle name="Normal 238 4 4 2 2" xfId="20297" xr:uid="{00000000-0005-0000-0000-0000494F0000}"/>
    <cellStyle name="Normal 238 4 4 3" xfId="20298" xr:uid="{00000000-0005-0000-0000-00004A4F0000}"/>
    <cellStyle name="Normal 238 4 5" xfId="20299" xr:uid="{00000000-0005-0000-0000-00004B4F0000}"/>
    <cellStyle name="Normal 238 4 5 2" xfId="20300" xr:uid="{00000000-0005-0000-0000-00004C4F0000}"/>
    <cellStyle name="Normal 238 4 5 2 2" xfId="20301" xr:uid="{00000000-0005-0000-0000-00004D4F0000}"/>
    <cellStyle name="Normal 238 4 5 3" xfId="20302" xr:uid="{00000000-0005-0000-0000-00004E4F0000}"/>
    <cellStyle name="Normal 238 4 6" xfId="20303" xr:uid="{00000000-0005-0000-0000-00004F4F0000}"/>
    <cellStyle name="Normal 238 5" xfId="20304" xr:uid="{00000000-0005-0000-0000-0000504F0000}"/>
    <cellStyle name="Normal 238 5 2" xfId="20305" xr:uid="{00000000-0005-0000-0000-0000514F0000}"/>
    <cellStyle name="Normal 238 5 2 2" xfId="20306" xr:uid="{00000000-0005-0000-0000-0000524F0000}"/>
    <cellStyle name="Normal 238 5 3" xfId="20307" xr:uid="{00000000-0005-0000-0000-0000534F0000}"/>
    <cellStyle name="Normal 238 6" xfId="20308" xr:uid="{00000000-0005-0000-0000-0000544F0000}"/>
    <cellStyle name="Normal 238 6 2" xfId="20309" xr:uid="{00000000-0005-0000-0000-0000554F0000}"/>
    <cellStyle name="Normal 238 6 2 2" xfId="20310" xr:uid="{00000000-0005-0000-0000-0000564F0000}"/>
    <cellStyle name="Normal 238 6 3" xfId="20311" xr:uid="{00000000-0005-0000-0000-0000574F0000}"/>
    <cellStyle name="Normal 238 7" xfId="20312" xr:uid="{00000000-0005-0000-0000-0000584F0000}"/>
    <cellStyle name="Normal 238 7 2" xfId="20313" xr:uid="{00000000-0005-0000-0000-0000594F0000}"/>
    <cellStyle name="Normal 238 7 2 2" xfId="20314" xr:uid="{00000000-0005-0000-0000-00005A4F0000}"/>
    <cellStyle name="Normal 238 7 3" xfId="20315" xr:uid="{00000000-0005-0000-0000-00005B4F0000}"/>
    <cellStyle name="Normal 238 8" xfId="20316" xr:uid="{00000000-0005-0000-0000-00005C4F0000}"/>
    <cellStyle name="Normal 239" xfId="20317" xr:uid="{00000000-0005-0000-0000-00005D4F0000}"/>
    <cellStyle name="Normal 239 2" xfId="20318" xr:uid="{00000000-0005-0000-0000-00005E4F0000}"/>
    <cellStyle name="Normal 239 2 2" xfId="20319" xr:uid="{00000000-0005-0000-0000-00005F4F0000}"/>
    <cellStyle name="Normal 239 2 2 2" xfId="20320" xr:uid="{00000000-0005-0000-0000-0000604F0000}"/>
    <cellStyle name="Normal 239 2 2 2 2" xfId="20321" xr:uid="{00000000-0005-0000-0000-0000614F0000}"/>
    <cellStyle name="Normal 239 2 2 3" xfId="20322" xr:uid="{00000000-0005-0000-0000-0000624F0000}"/>
    <cellStyle name="Normal 239 2 2 3 2" xfId="20323" xr:uid="{00000000-0005-0000-0000-0000634F0000}"/>
    <cellStyle name="Normal 239 2 2 3 2 2" xfId="20324" xr:uid="{00000000-0005-0000-0000-0000644F0000}"/>
    <cellStyle name="Normal 239 2 2 3 3" xfId="20325" xr:uid="{00000000-0005-0000-0000-0000654F0000}"/>
    <cellStyle name="Normal 239 2 2 4" xfId="20326" xr:uid="{00000000-0005-0000-0000-0000664F0000}"/>
    <cellStyle name="Normal 239 2 2 4 2" xfId="20327" xr:uid="{00000000-0005-0000-0000-0000674F0000}"/>
    <cellStyle name="Normal 239 2 2 4 2 2" xfId="20328" xr:uid="{00000000-0005-0000-0000-0000684F0000}"/>
    <cellStyle name="Normal 239 2 2 4 3" xfId="20329" xr:uid="{00000000-0005-0000-0000-0000694F0000}"/>
    <cellStyle name="Normal 239 2 2 5" xfId="20330" xr:uid="{00000000-0005-0000-0000-00006A4F0000}"/>
    <cellStyle name="Normal 239 2 3" xfId="20331" xr:uid="{00000000-0005-0000-0000-00006B4F0000}"/>
    <cellStyle name="Normal 239 2 3 2" xfId="20332" xr:uid="{00000000-0005-0000-0000-00006C4F0000}"/>
    <cellStyle name="Normal 239 2 3 2 2" xfId="20333" xr:uid="{00000000-0005-0000-0000-00006D4F0000}"/>
    <cellStyle name="Normal 239 2 3 2 2 2" xfId="20334" xr:uid="{00000000-0005-0000-0000-00006E4F0000}"/>
    <cellStyle name="Normal 239 2 3 2 3" xfId="20335" xr:uid="{00000000-0005-0000-0000-00006F4F0000}"/>
    <cellStyle name="Normal 239 2 3 2 3 2" xfId="20336" xr:uid="{00000000-0005-0000-0000-0000704F0000}"/>
    <cellStyle name="Normal 239 2 3 2 3 2 2" xfId="20337" xr:uid="{00000000-0005-0000-0000-0000714F0000}"/>
    <cellStyle name="Normal 239 2 3 2 3 3" xfId="20338" xr:uid="{00000000-0005-0000-0000-0000724F0000}"/>
    <cellStyle name="Normal 239 2 3 2 4" xfId="20339" xr:uid="{00000000-0005-0000-0000-0000734F0000}"/>
    <cellStyle name="Normal 239 2 3 3" xfId="20340" xr:uid="{00000000-0005-0000-0000-0000744F0000}"/>
    <cellStyle name="Normal 239 2 3 3 2" xfId="20341" xr:uid="{00000000-0005-0000-0000-0000754F0000}"/>
    <cellStyle name="Normal 239 2 3 3 2 2" xfId="20342" xr:uid="{00000000-0005-0000-0000-0000764F0000}"/>
    <cellStyle name="Normal 239 2 3 3 3" xfId="20343" xr:uid="{00000000-0005-0000-0000-0000774F0000}"/>
    <cellStyle name="Normal 239 2 3 4" xfId="20344" xr:uid="{00000000-0005-0000-0000-0000784F0000}"/>
    <cellStyle name="Normal 239 2 3 4 2" xfId="20345" xr:uid="{00000000-0005-0000-0000-0000794F0000}"/>
    <cellStyle name="Normal 239 2 3 4 2 2" xfId="20346" xr:uid="{00000000-0005-0000-0000-00007A4F0000}"/>
    <cellStyle name="Normal 239 2 3 4 3" xfId="20347" xr:uid="{00000000-0005-0000-0000-00007B4F0000}"/>
    <cellStyle name="Normal 239 2 3 5" xfId="20348" xr:uid="{00000000-0005-0000-0000-00007C4F0000}"/>
    <cellStyle name="Normal 239 2 3 5 2" xfId="20349" xr:uid="{00000000-0005-0000-0000-00007D4F0000}"/>
    <cellStyle name="Normal 239 2 3 5 2 2" xfId="20350" xr:uid="{00000000-0005-0000-0000-00007E4F0000}"/>
    <cellStyle name="Normal 239 2 3 5 3" xfId="20351" xr:uid="{00000000-0005-0000-0000-00007F4F0000}"/>
    <cellStyle name="Normal 239 2 3 6" xfId="20352" xr:uid="{00000000-0005-0000-0000-0000804F0000}"/>
    <cellStyle name="Normal 239 2 4" xfId="20353" xr:uid="{00000000-0005-0000-0000-0000814F0000}"/>
    <cellStyle name="Normal 239 2 4 2" xfId="20354" xr:uid="{00000000-0005-0000-0000-0000824F0000}"/>
    <cellStyle name="Normal 239 2 4 2 2" xfId="20355" xr:uid="{00000000-0005-0000-0000-0000834F0000}"/>
    <cellStyle name="Normal 239 2 4 3" xfId="20356" xr:uid="{00000000-0005-0000-0000-0000844F0000}"/>
    <cellStyle name="Normal 239 2 5" xfId="20357" xr:uid="{00000000-0005-0000-0000-0000854F0000}"/>
    <cellStyle name="Normal 239 2 5 2" xfId="20358" xr:uid="{00000000-0005-0000-0000-0000864F0000}"/>
    <cellStyle name="Normal 239 2 5 2 2" xfId="20359" xr:uid="{00000000-0005-0000-0000-0000874F0000}"/>
    <cellStyle name="Normal 239 2 5 3" xfId="20360" xr:uid="{00000000-0005-0000-0000-0000884F0000}"/>
    <cellStyle name="Normal 239 2 6" xfId="20361" xr:uid="{00000000-0005-0000-0000-0000894F0000}"/>
    <cellStyle name="Normal 239 2 6 2" xfId="20362" xr:uid="{00000000-0005-0000-0000-00008A4F0000}"/>
    <cellStyle name="Normal 239 2 6 2 2" xfId="20363" xr:uid="{00000000-0005-0000-0000-00008B4F0000}"/>
    <cellStyle name="Normal 239 2 6 3" xfId="20364" xr:uid="{00000000-0005-0000-0000-00008C4F0000}"/>
    <cellStyle name="Normal 239 2 7" xfId="20365" xr:uid="{00000000-0005-0000-0000-00008D4F0000}"/>
    <cellStyle name="Normal 239 3" xfId="20366" xr:uid="{00000000-0005-0000-0000-00008E4F0000}"/>
    <cellStyle name="Normal 239 3 2" xfId="20367" xr:uid="{00000000-0005-0000-0000-00008F4F0000}"/>
    <cellStyle name="Normal 239 3 2 2" xfId="20368" xr:uid="{00000000-0005-0000-0000-0000904F0000}"/>
    <cellStyle name="Normal 239 3 3" xfId="20369" xr:uid="{00000000-0005-0000-0000-0000914F0000}"/>
    <cellStyle name="Normal 239 3 3 2" xfId="20370" xr:uid="{00000000-0005-0000-0000-0000924F0000}"/>
    <cellStyle name="Normal 239 3 3 2 2" xfId="20371" xr:uid="{00000000-0005-0000-0000-0000934F0000}"/>
    <cellStyle name="Normal 239 3 3 3" xfId="20372" xr:uid="{00000000-0005-0000-0000-0000944F0000}"/>
    <cellStyle name="Normal 239 3 4" xfId="20373" xr:uid="{00000000-0005-0000-0000-0000954F0000}"/>
    <cellStyle name="Normal 239 3 4 2" xfId="20374" xr:uid="{00000000-0005-0000-0000-0000964F0000}"/>
    <cellStyle name="Normal 239 3 4 2 2" xfId="20375" xr:uid="{00000000-0005-0000-0000-0000974F0000}"/>
    <cellStyle name="Normal 239 3 4 3" xfId="20376" xr:uid="{00000000-0005-0000-0000-0000984F0000}"/>
    <cellStyle name="Normal 239 3 5" xfId="20377" xr:uid="{00000000-0005-0000-0000-0000994F0000}"/>
    <cellStyle name="Normal 239 4" xfId="20378" xr:uid="{00000000-0005-0000-0000-00009A4F0000}"/>
    <cellStyle name="Normal 239 4 2" xfId="20379" xr:uid="{00000000-0005-0000-0000-00009B4F0000}"/>
    <cellStyle name="Normal 239 4 2 2" xfId="20380" xr:uid="{00000000-0005-0000-0000-00009C4F0000}"/>
    <cellStyle name="Normal 239 4 2 2 2" xfId="20381" xr:uid="{00000000-0005-0000-0000-00009D4F0000}"/>
    <cellStyle name="Normal 239 4 2 3" xfId="20382" xr:uid="{00000000-0005-0000-0000-00009E4F0000}"/>
    <cellStyle name="Normal 239 4 2 3 2" xfId="20383" xr:uid="{00000000-0005-0000-0000-00009F4F0000}"/>
    <cellStyle name="Normal 239 4 2 3 2 2" xfId="20384" xr:uid="{00000000-0005-0000-0000-0000A04F0000}"/>
    <cellStyle name="Normal 239 4 2 3 3" xfId="20385" xr:uid="{00000000-0005-0000-0000-0000A14F0000}"/>
    <cellStyle name="Normal 239 4 2 4" xfId="20386" xr:uid="{00000000-0005-0000-0000-0000A24F0000}"/>
    <cellStyle name="Normal 239 4 3" xfId="20387" xr:uid="{00000000-0005-0000-0000-0000A34F0000}"/>
    <cellStyle name="Normal 239 4 3 2" xfId="20388" xr:uid="{00000000-0005-0000-0000-0000A44F0000}"/>
    <cellStyle name="Normal 239 4 3 2 2" xfId="20389" xr:uid="{00000000-0005-0000-0000-0000A54F0000}"/>
    <cellStyle name="Normal 239 4 3 3" xfId="20390" xr:uid="{00000000-0005-0000-0000-0000A64F0000}"/>
    <cellStyle name="Normal 239 4 4" xfId="20391" xr:uid="{00000000-0005-0000-0000-0000A74F0000}"/>
    <cellStyle name="Normal 239 4 4 2" xfId="20392" xr:uid="{00000000-0005-0000-0000-0000A84F0000}"/>
    <cellStyle name="Normal 239 4 4 2 2" xfId="20393" xr:uid="{00000000-0005-0000-0000-0000A94F0000}"/>
    <cellStyle name="Normal 239 4 4 3" xfId="20394" xr:uid="{00000000-0005-0000-0000-0000AA4F0000}"/>
    <cellStyle name="Normal 239 4 5" xfId="20395" xr:uid="{00000000-0005-0000-0000-0000AB4F0000}"/>
    <cellStyle name="Normal 239 4 5 2" xfId="20396" xr:uid="{00000000-0005-0000-0000-0000AC4F0000}"/>
    <cellStyle name="Normal 239 4 5 2 2" xfId="20397" xr:uid="{00000000-0005-0000-0000-0000AD4F0000}"/>
    <cellStyle name="Normal 239 4 5 3" xfId="20398" xr:uid="{00000000-0005-0000-0000-0000AE4F0000}"/>
    <cellStyle name="Normal 239 4 6" xfId="20399" xr:uid="{00000000-0005-0000-0000-0000AF4F0000}"/>
    <cellStyle name="Normal 239 5" xfId="20400" xr:uid="{00000000-0005-0000-0000-0000B04F0000}"/>
    <cellStyle name="Normal 239 5 2" xfId="20401" xr:uid="{00000000-0005-0000-0000-0000B14F0000}"/>
    <cellStyle name="Normal 239 5 2 2" xfId="20402" xr:uid="{00000000-0005-0000-0000-0000B24F0000}"/>
    <cellStyle name="Normal 239 5 3" xfId="20403" xr:uid="{00000000-0005-0000-0000-0000B34F0000}"/>
    <cellStyle name="Normal 239 6" xfId="20404" xr:uid="{00000000-0005-0000-0000-0000B44F0000}"/>
    <cellStyle name="Normal 239 6 2" xfId="20405" xr:uid="{00000000-0005-0000-0000-0000B54F0000}"/>
    <cellStyle name="Normal 239 6 2 2" xfId="20406" xr:uid="{00000000-0005-0000-0000-0000B64F0000}"/>
    <cellStyle name="Normal 239 6 3" xfId="20407" xr:uid="{00000000-0005-0000-0000-0000B74F0000}"/>
    <cellStyle name="Normal 239 7" xfId="20408" xr:uid="{00000000-0005-0000-0000-0000B84F0000}"/>
    <cellStyle name="Normal 239 7 2" xfId="20409" xr:uid="{00000000-0005-0000-0000-0000B94F0000}"/>
    <cellStyle name="Normal 239 7 2 2" xfId="20410" xr:uid="{00000000-0005-0000-0000-0000BA4F0000}"/>
    <cellStyle name="Normal 239 7 3" xfId="20411" xr:uid="{00000000-0005-0000-0000-0000BB4F0000}"/>
    <cellStyle name="Normal 239 8" xfId="20412" xr:uid="{00000000-0005-0000-0000-0000BC4F0000}"/>
    <cellStyle name="Normal 24" xfId="20413" xr:uid="{00000000-0005-0000-0000-0000BD4F0000}"/>
    <cellStyle name="Normal 24 2" xfId="20414" xr:uid="{00000000-0005-0000-0000-0000BE4F0000}"/>
    <cellStyle name="Normal 24 2 2" xfId="20415" xr:uid="{00000000-0005-0000-0000-0000BF4F0000}"/>
    <cellStyle name="Normal 24 2 2 2" xfId="20416" xr:uid="{00000000-0005-0000-0000-0000C04F0000}"/>
    <cellStyle name="Normal 24 2 2 2 2" xfId="20417" xr:uid="{00000000-0005-0000-0000-0000C14F0000}"/>
    <cellStyle name="Normal 24 2 2 3" xfId="20418" xr:uid="{00000000-0005-0000-0000-0000C24F0000}"/>
    <cellStyle name="Normal 24 2 2 3 2" xfId="20419" xr:uid="{00000000-0005-0000-0000-0000C34F0000}"/>
    <cellStyle name="Normal 24 2 2 3 2 2" xfId="20420" xr:uid="{00000000-0005-0000-0000-0000C44F0000}"/>
    <cellStyle name="Normal 24 2 2 3 3" xfId="20421" xr:uid="{00000000-0005-0000-0000-0000C54F0000}"/>
    <cellStyle name="Normal 24 2 2 4" xfId="20422" xr:uid="{00000000-0005-0000-0000-0000C64F0000}"/>
    <cellStyle name="Normal 24 2 2 4 2" xfId="20423" xr:uid="{00000000-0005-0000-0000-0000C74F0000}"/>
    <cellStyle name="Normal 24 2 2 4 2 2" xfId="20424" xr:uid="{00000000-0005-0000-0000-0000C84F0000}"/>
    <cellStyle name="Normal 24 2 2 4 3" xfId="20425" xr:uid="{00000000-0005-0000-0000-0000C94F0000}"/>
    <cellStyle name="Normal 24 2 2 5" xfId="20426" xr:uid="{00000000-0005-0000-0000-0000CA4F0000}"/>
    <cellStyle name="Normal 24 2 3" xfId="20427" xr:uid="{00000000-0005-0000-0000-0000CB4F0000}"/>
    <cellStyle name="Normal 24 2 3 2" xfId="20428" xr:uid="{00000000-0005-0000-0000-0000CC4F0000}"/>
    <cellStyle name="Normal 24 2 3 2 2" xfId="20429" xr:uid="{00000000-0005-0000-0000-0000CD4F0000}"/>
    <cellStyle name="Normal 24 2 3 3" xfId="20430" xr:uid="{00000000-0005-0000-0000-0000CE4F0000}"/>
    <cellStyle name="Normal 24 2 4" xfId="20431" xr:uid="{00000000-0005-0000-0000-0000CF4F0000}"/>
    <cellStyle name="Normal 24 2 4 2" xfId="20432" xr:uid="{00000000-0005-0000-0000-0000D04F0000}"/>
    <cellStyle name="Normal 24 2 4 2 2" xfId="20433" xr:uid="{00000000-0005-0000-0000-0000D14F0000}"/>
    <cellStyle name="Normal 24 2 4 3" xfId="20434" xr:uid="{00000000-0005-0000-0000-0000D24F0000}"/>
    <cellStyle name="Normal 24 2 5" xfId="20435" xr:uid="{00000000-0005-0000-0000-0000D34F0000}"/>
    <cellStyle name="Normal 24 2 5 2" xfId="20436" xr:uid="{00000000-0005-0000-0000-0000D44F0000}"/>
    <cellStyle name="Normal 24 2 5 2 2" xfId="20437" xr:uid="{00000000-0005-0000-0000-0000D54F0000}"/>
    <cellStyle name="Normal 24 2 5 3" xfId="20438" xr:uid="{00000000-0005-0000-0000-0000D64F0000}"/>
    <cellStyle name="Normal 24 2 6" xfId="20439" xr:uid="{00000000-0005-0000-0000-0000D74F0000}"/>
    <cellStyle name="Normal 24 3" xfId="20440" xr:uid="{00000000-0005-0000-0000-0000D84F0000}"/>
    <cellStyle name="Normal 24 3 2" xfId="20441" xr:uid="{00000000-0005-0000-0000-0000D94F0000}"/>
    <cellStyle name="Normal 24 3 2 2" xfId="20442" xr:uid="{00000000-0005-0000-0000-0000DA4F0000}"/>
    <cellStyle name="Normal 24 3 3" xfId="20443" xr:uid="{00000000-0005-0000-0000-0000DB4F0000}"/>
    <cellStyle name="Normal 24 3 3 2" xfId="20444" xr:uid="{00000000-0005-0000-0000-0000DC4F0000}"/>
    <cellStyle name="Normal 24 3 3 2 2" xfId="20445" xr:uid="{00000000-0005-0000-0000-0000DD4F0000}"/>
    <cellStyle name="Normal 24 3 3 3" xfId="20446" xr:uid="{00000000-0005-0000-0000-0000DE4F0000}"/>
    <cellStyle name="Normal 24 3 4" xfId="20447" xr:uid="{00000000-0005-0000-0000-0000DF4F0000}"/>
    <cellStyle name="Normal 24 3 4 2" xfId="20448" xr:uid="{00000000-0005-0000-0000-0000E04F0000}"/>
    <cellStyle name="Normal 24 3 4 2 2" xfId="20449" xr:uid="{00000000-0005-0000-0000-0000E14F0000}"/>
    <cellStyle name="Normal 24 3 4 3" xfId="20450" xr:uid="{00000000-0005-0000-0000-0000E24F0000}"/>
    <cellStyle name="Normal 24 3 5" xfId="20451" xr:uid="{00000000-0005-0000-0000-0000E34F0000}"/>
    <cellStyle name="Normal 24 4" xfId="20452" xr:uid="{00000000-0005-0000-0000-0000E44F0000}"/>
    <cellStyle name="Normal 24 4 2" xfId="20453" xr:uid="{00000000-0005-0000-0000-0000E54F0000}"/>
    <cellStyle name="Normal 24 4 2 2" xfId="20454" xr:uid="{00000000-0005-0000-0000-0000E64F0000}"/>
    <cellStyle name="Normal 24 4 3" xfId="20455" xr:uid="{00000000-0005-0000-0000-0000E74F0000}"/>
    <cellStyle name="Normal 24 4 3 2" xfId="20456" xr:uid="{00000000-0005-0000-0000-0000E84F0000}"/>
    <cellStyle name="Normal 24 4 3 2 2" xfId="20457" xr:uid="{00000000-0005-0000-0000-0000E94F0000}"/>
    <cellStyle name="Normal 24 4 3 3" xfId="20458" xr:uid="{00000000-0005-0000-0000-0000EA4F0000}"/>
    <cellStyle name="Normal 24 4 4" xfId="20459" xr:uid="{00000000-0005-0000-0000-0000EB4F0000}"/>
    <cellStyle name="Normal 24 4 4 2" xfId="20460" xr:uid="{00000000-0005-0000-0000-0000EC4F0000}"/>
    <cellStyle name="Normal 24 4 4 2 2" xfId="20461" xr:uid="{00000000-0005-0000-0000-0000ED4F0000}"/>
    <cellStyle name="Normal 24 4 4 3" xfId="20462" xr:uid="{00000000-0005-0000-0000-0000EE4F0000}"/>
    <cellStyle name="Normal 24 4 5" xfId="20463" xr:uid="{00000000-0005-0000-0000-0000EF4F0000}"/>
    <cellStyle name="Normal 24 5" xfId="20464" xr:uid="{00000000-0005-0000-0000-0000F04F0000}"/>
    <cellStyle name="Normal 24 5 2" xfId="20465" xr:uid="{00000000-0005-0000-0000-0000F14F0000}"/>
    <cellStyle name="Normal 24 5 2 2" xfId="20466" xr:uid="{00000000-0005-0000-0000-0000F24F0000}"/>
    <cellStyle name="Normal 24 5 3" xfId="20467" xr:uid="{00000000-0005-0000-0000-0000F34F0000}"/>
    <cellStyle name="Normal 24 6" xfId="20468" xr:uid="{00000000-0005-0000-0000-0000F44F0000}"/>
    <cellStyle name="Normal 24 6 2" xfId="20469" xr:uid="{00000000-0005-0000-0000-0000F54F0000}"/>
    <cellStyle name="Normal 24 6 2 2" xfId="20470" xr:uid="{00000000-0005-0000-0000-0000F64F0000}"/>
    <cellStyle name="Normal 24 6 3" xfId="20471" xr:uid="{00000000-0005-0000-0000-0000F74F0000}"/>
    <cellStyle name="Normal 24 7" xfId="20472" xr:uid="{00000000-0005-0000-0000-0000F84F0000}"/>
    <cellStyle name="Normal 24 7 2" xfId="20473" xr:uid="{00000000-0005-0000-0000-0000F94F0000}"/>
    <cellStyle name="Normal 24 7 2 2" xfId="20474" xr:uid="{00000000-0005-0000-0000-0000FA4F0000}"/>
    <cellStyle name="Normal 24 7 3" xfId="20475" xr:uid="{00000000-0005-0000-0000-0000FB4F0000}"/>
    <cellStyle name="Normal 24 8" xfId="20476" xr:uid="{00000000-0005-0000-0000-0000FC4F0000}"/>
    <cellStyle name="Normal 240" xfId="20477" xr:uid="{00000000-0005-0000-0000-0000FD4F0000}"/>
    <cellStyle name="Normal 240 2" xfId="20478" xr:uid="{00000000-0005-0000-0000-0000FE4F0000}"/>
    <cellStyle name="Normal 240 2 2" xfId="20479" xr:uid="{00000000-0005-0000-0000-0000FF4F0000}"/>
    <cellStyle name="Normal 240 2 2 2" xfId="20480" xr:uid="{00000000-0005-0000-0000-000000500000}"/>
    <cellStyle name="Normal 240 2 2 2 2" xfId="20481" xr:uid="{00000000-0005-0000-0000-000001500000}"/>
    <cellStyle name="Normal 240 2 2 3" xfId="20482" xr:uid="{00000000-0005-0000-0000-000002500000}"/>
    <cellStyle name="Normal 240 2 2 3 2" xfId="20483" xr:uid="{00000000-0005-0000-0000-000003500000}"/>
    <cellStyle name="Normal 240 2 2 3 2 2" xfId="20484" xr:uid="{00000000-0005-0000-0000-000004500000}"/>
    <cellStyle name="Normal 240 2 2 3 3" xfId="20485" xr:uid="{00000000-0005-0000-0000-000005500000}"/>
    <cellStyle name="Normal 240 2 2 4" xfId="20486" xr:uid="{00000000-0005-0000-0000-000006500000}"/>
    <cellStyle name="Normal 240 2 2 4 2" xfId="20487" xr:uid="{00000000-0005-0000-0000-000007500000}"/>
    <cellStyle name="Normal 240 2 2 4 2 2" xfId="20488" xr:uid="{00000000-0005-0000-0000-000008500000}"/>
    <cellStyle name="Normal 240 2 2 4 3" xfId="20489" xr:uid="{00000000-0005-0000-0000-000009500000}"/>
    <cellStyle name="Normal 240 2 2 5" xfId="20490" xr:uid="{00000000-0005-0000-0000-00000A500000}"/>
    <cellStyle name="Normal 240 2 3" xfId="20491" xr:uid="{00000000-0005-0000-0000-00000B500000}"/>
    <cellStyle name="Normal 240 2 3 2" xfId="20492" xr:uid="{00000000-0005-0000-0000-00000C500000}"/>
    <cellStyle name="Normal 240 2 3 2 2" xfId="20493" xr:uid="{00000000-0005-0000-0000-00000D500000}"/>
    <cellStyle name="Normal 240 2 3 2 2 2" xfId="20494" xr:uid="{00000000-0005-0000-0000-00000E500000}"/>
    <cellStyle name="Normal 240 2 3 2 3" xfId="20495" xr:uid="{00000000-0005-0000-0000-00000F500000}"/>
    <cellStyle name="Normal 240 2 3 2 3 2" xfId="20496" xr:uid="{00000000-0005-0000-0000-000010500000}"/>
    <cellStyle name="Normal 240 2 3 2 3 2 2" xfId="20497" xr:uid="{00000000-0005-0000-0000-000011500000}"/>
    <cellStyle name="Normal 240 2 3 2 3 3" xfId="20498" xr:uid="{00000000-0005-0000-0000-000012500000}"/>
    <cellStyle name="Normal 240 2 3 2 4" xfId="20499" xr:uid="{00000000-0005-0000-0000-000013500000}"/>
    <cellStyle name="Normal 240 2 3 3" xfId="20500" xr:uid="{00000000-0005-0000-0000-000014500000}"/>
    <cellStyle name="Normal 240 2 3 3 2" xfId="20501" xr:uid="{00000000-0005-0000-0000-000015500000}"/>
    <cellStyle name="Normal 240 2 3 3 2 2" xfId="20502" xr:uid="{00000000-0005-0000-0000-000016500000}"/>
    <cellStyle name="Normal 240 2 3 3 3" xfId="20503" xr:uid="{00000000-0005-0000-0000-000017500000}"/>
    <cellStyle name="Normal 240 2 3 4" xfId="20504" xr:uid="{00000000-0005-0000-0000-000018500000}"/>
    <cellStyle name="Normal 240 2 3 4 2" xfId="20505" xr:uid="{00000000-0005-0000-0000-000019500000}"/>
    <cellStyle name="Normal 240 2 3 4 2 2" xfId="20506" xr:uid="{00000000-0005-0000-0000-00001A500000}"/>
    <cellStyle name="Normal 240 2 3 4 3" xfId="20507" xr:uid="{00000000-0005-0000-0000-00001B500000}"/>
    <cellStyle name="Normal 240 2 3 5" xfId="20508" xr:uid="{00000000-0005-0000-0000-00001C500000}"/>
    <cellStyle name="Normal 240 2 3 5 2" xfId="20509" xr:uid="{00000000-0005-0000-0000-00001D500000}"/>
    <cellStyle name="Normal 240 2 3 5 2 2" xfId="20510" xr:uid="{00000000-0005-0000-0000-00001E500000}"/>
    <cellStyle name="Normal 240 2 3 5 3" xfId="20511" xr:uid="{00000000-0005-0000-0000-00001F500000}"/>
    <cellStyle name="Normal 240 2 3 6" xfId="20512" xr:uid="{00000000-0005-0000-0000-000020500000}"/>
    <cellStyle name="Normal 240 2 4" xfId="20513" xr:uid="{00000000-0005-0000-0000-000021500000}"/>
    <cellStyle name="Normal 240 2 4 2" xfId="20514" xr:uid="{00000000-0005-0000-0000-000022500000}"/>
    <cellStyle name="Normal 240 2 4 2 2" xfId="20515" xr:uid="{00000000-0005-0000-0000-000023500000}"/>
    <cellStyle name="Normal 240 2 4 3" xfId="20516" xr:uid="{00000000-0005-0000-0000-000024500000}"/>
    <cellStyle name="Normal 240 2 5" xfId="20517" xr:uid="{00000000-0005-0000-0000-000025500000}"/>
    <cellStyle name="Normal 240 2 5 2" xfId="20518" xr:uid="{00000000-0005-0000-0000-000026500000}"/>
    <cellStyle name="Normal 240 2 5 2 2" xfId="20519" xr:uid="{00000000-0005-0000-0000-000027500000}"/>
    <cellStyle name="Normal 240 2 5 3" xfId="20520" xr:uid="{00000000-0005-0000-0000-000028500000}"/>
    <cellStyle name="Normal 240 2 6" xfId="20521" xr:uid="{00000000-0005-0000-0000-000029500000}"/>
    <cellStyle name="Normal 240 2 6 2" xfId="20522" xr:uid="{00000000-0005-0000-0000-00002A500000}"/>
    <cellStyle name="Normal 240 2 6 2 2" xfId="20523" xr:uid="{00000000-0005-0000-0000-00002B500000}"/>
    <cellStyle name="Normal 240 2 6 3" xfId="20524" xr:uid="{00000000-0005-0000-0000-00002C500000}"/>
    <cellStyle name="Normal 240 2 7" xfId="20525" xr:uid="{00000000-0005-0000-0000-00002D500000}"/>
    <cellStyle name="Normal 240 3" xfId="20526" xr:uid="{00000000-0005-0000-0000-00002E500000}"/>
    <cellStyle name="Normal 240 3 2" xfId="20527" xr:uid="{00000000-0005-0000-0000-00002F500000}"/>
    <cellStyle name="Normal 240 3 2 2" xfId="20528" xr:uid="{00000000-0005-0000-0000-000030500000}"/>
    <cellStyle name="Normal 240 3 3" xfId="20529" xr:uid="{00000000-0005-0000-0000-000031500000}"/>
    <cellStyle name="Normal 240 3 3 2" xfId="20530" xr:uid="{00000000-0005-0000-0000-000032500000}"/>
    <cellStyle name="Normal 240 3 3 2 2" xfId="20531" xr:uid="{00000000-0005-0000-0000-000033500000}"/>
    <cellStyle name="Normal 240 3 3 3" xfId="20532" xr:uid="{00000000-0005-0000-0000-000034500000}"/>
    <cellStyle name="Normal 240 3 4" xfId="20533" xr:uid="{00000000-0005-0000-0000-000035500000}"/>
    <cellStyle name="Normal 240 3 4 2" xfId="20534" xr:uid="{00000000-0005-0000-0000-000036500000}"/>
    <cellStyle name="Normal 240 3 4 2 2" xfId="20535" xr:uid="{00000000-0005-0000-0000-000037500000}"/>
    <cellStyle name="Normal 240 3 4 3" xfId="20536" xr:uid="{00000000-0005-0000-0000-000038500000}"/>
    <cellStyle name="Normal 240 3 5" xfId="20537" xr:uid="{00000000-0005-0000-0000-000039500000}"/>
    <cellStyle name="Normal 240 4" xfId="20538" xr:uid="{00000000-0005-0000-0000-00003A500000}"/>
    <cellStyle name="Normal 240 4 2" xfId="20539" xr:uid="{00000000-0005-0000-0000-00003B500000}"/>
    <cellStyle name="Normal 240 4 2 2" xfId="20540" xr:uid="{00000000-0005-0000-0000-00003C500000}"/>
    <cellStyle name="Normal 240 4 2 2 2" xfId="20541" xr:uid="{00000000-0005-0000-0000-00003D500000}"/>
    <cellStyle name="Normal 240 4 2 3" xfId="20542" xr:uid="{00000000-0005-0000-0000-00003E500000}"/>
    <cellStyle name="Normal 240 4 2 3 2" xfId="20543" xr:uid="{00000000-0005-0000-0000-00003F500000}"/>
    <cellStyle name="Normal 240 4 2 3 2 2" xfId="20544" xr:uid="{00000000-0005-0000-0000-000040500000}"/>
    <cellStyle name="Normal 240 4 2 3 3" xfId="20545" xr:uid="{00000000-0005-0000-0000-000041500000}"/>
    <cellStyle name="Normal 240 4 2 4" xfId="20546" xr:uid="{00000000-0005-0000-0000-000042500000}"/>
    <cellStyle name="Normal 240 4 3" xfId="20547" xr:uid="{00000000-0005-0000-0000-000043500000}"/>
    <cellStyle name="Normal 240 4 3 2" xfId="20548" xr:uid="{00000000-0005-0000-0000-000044500000}"/>
    <cellStyle name="Normal 240 4 3 2 2" xfId="20549" xr:uid="{00000000-0005-0000-0000-000045500000}"/>
    <cellStyle name="Normal 240 4 3 3" xfId="20550" xr:uid="{00000000-0005-0000-0000-000046500000}"/>
    <cellStyle name="Normal 240 4 4" xfId="20551" xr:uid="{00000000-0005-0000-0000-000047500000}"/>
    <cellStyle name="Normal 240 4 4 2" xfId="20552" xr:uid="{00000000-0005-0000-0000-000048500000}"/>
    <cellStyle name="Normal 240 4 4 2 2" xfId="20553" xr:uid="{00000000-0005-0000-0000-000049500000}"/>
    <cellStyle name="Normal 240 4 4 3" xfId="20554" xr:uid="{00000000-0005-0000-0000-00004A500000}"/>
    <cellStyle name="Normal 240 4 5" xfId="20555" xr:uid="{00000000-0005-0000-0000-00004B500000}"/>
    <cellStyle name="Normal 240 4 5 2" xfId="20556" xr:uid="{00000000-0005-0000-0000-00004C500000}"/>
    <cellStyle name="Normal 240 4 5 2 2" xfId="20557" xr:uid="{00000000-0005-0000-0000-00004D500000}"/>
    <cellStyle name="Normal 240 4 5 3" xfId="20558" xr:uid="{00000000-0005-0000-0000-00004E500000}"/>
    <cellStyle name="Normal 240 4 6" xfId="20559" xr:uid="{00000000-0005-0000-0000-00004F500000}"/>
    <cellStyle name="Normal 240 5" xfId="20560" xr:uid="{00000000-0005-0000-0000-000050500000}"/>
    <cellStyle name="Normal 240 5 2" xfId="20561" xr:uid="{00000000-0005-0000-0000-000051500000}"/>
    <cellStyle name="Normal 240 5 2 2" xfId="20562" xr:uid="{00000000-0005-0000-0000-000052500000}"/>
    <cellStyle name="Normal 240 5 3" xfId="20563" xr:uid="{00000000-0005-0000-0000-000053500000}"/>
    <cellStyle name="Normal 240 6" xfId="20564" xr:uid="{00000000-0005-0000-0000-000054500000}"/>
    <cellStyle name="Normal 240 6 2" xfId="20565" xr:uid="{00000000-0005-0000-0000-000055500000}"/>
    <cellStyle name="Normal 240 6 2 2" xfId="20566" xr:uid="{00000000-0005-0000-0000-000056500000}"/>
    <cellStyle name="Normal 240 6 3" xfId="20567" xr:uid="{00000000-0005-0000-0000-000057500000}"/>
    <cellStyle name="Normal 240 7" xfId="20568" xr:uid="{00000000-0005-0000-0000-000058500000}"/>
    <cellStyle name="Normal 240 7 2" xfId="20569" xr:uid="{00000000-0005-0000-0000-000059500000}"/>
    <cellStyle name="Normal 240 7 2 2" xfId="20570" xr:uid="{00000000-0005-0000-0000-00005A500000}"/>
    <cellStyle name="Normal 240 7 3" xfId="20571" xr:uid="{00000000-0005-0000-0000-00005B500000}"/>
    <cellStyle name="Normal 240 8" xfId="20572" xr:uid="{00000000-0005-0000-0000-00005C500000}"/>
    <cellStyle name="Normal 241" xfId="20573" xr:uid="{00000000-0005-0000-0000-00005D500000}"/>
    <cellStyle name="Normal 241 2" xfId="20574" xr:uid="{00000000-0005-0000-0000-00005E500000}"/>
    <cellStyle name="Normal 241 2 2" xfId="20575" xr:uid="{00000000-0005-0000-0000-00005F500000}"/>
    <cellStyle name="Normal 241 2 2 2" xfId="20576" xr:uid="{00000000-0005-0000-0000-000060500000}"/>
    <cellStyle name="Normal 241 2 2 2 2" xfId="20577" xr:uid="{00000000-0005-0000-0000-000061500000}"/>
    <cellStyle name="Normal 241 2 2 3" xfId="20578" xr:uid="{00000000-0005-0000-0000-000062500000}"/>
    <cellStyle name="Normal 241 2 2 3 2" xfId="20579" xr:uid="{00000000-0005-0000-0000-000063500000}"/>
    <cellStyle name="Normal 241 2 2 3 2 2" xfId="20580" xr:uid="{00000000-0005-0000-0000-000064500000}"/>
    <cellStyle name="Normal 241 2 2 3 3" xfId="20581" xr:uid="{00000000-0005-0000-0000-000065500000}"/>
    <cellStyle name="Normal 241 2 2 4" xfId="20582" xr:uid="{00000000-0005-0000-0000-000066500000}"/>
    <cellStyle name="Normal 241 2 2 4 2" xfId="20583" xr:uid="{00000000-0005-0000-0000-000067500000}"/>
    <cellStyle name="Normal 241 2 2 4 2 2" xfId="20584" xr:uid="{00000000-0005-0000-0000-000068500000}"/>
    <cellStyle name="Normal 241 2 2 4 3" xfId="20585" xr:uid="{00000000-0005-0000-0000-000069500000}"/>
    <cellStyle name="Normal 241 2 2 5" xfId="20586" xr:uid="{00000000-0005-0000-0000-00006A500000}"/>
    <cellStyle name="Normal 241 2 3" xfId="20587" xr:uid="{00000000-0005-0000-0000-00006B500000}"/>
    <cellStyle name="Normal 241 2 3 2" xfId="20588" xr:uid="{00000000-0005-0000-0000-00006C500000}"/>
    <cellStyle name="Normal 241 2 3 2 2" xfId="20589" xr:uid="{00000000-0005-0000-0000-00006D500000}"/>
    <cellStyle name="Normal 241 2 3 2 2 2" xfId="20590" xr:uid="{00000000-0005-0000-0000-00006E500000}"/>
    <cellStyle name="Normal 241 2 3 2 3" xfId="20591" xr:uid="{00000000-0005-0000-0000-00006F500000}"/>
    <cellStyle name="Normal 241 2 3 2 3 2" xfId="20592" xr:uid="{00000000-0005-0000-0000-000070500000}"/>
    <cellStyle name="Normal 241 2 3 2 3 2 2" xfId="20593" xr:uid="{00000000-0005-0000-0000-000071500000}"/>
    <cellStyle name="Normal 241 2 3 2 3 3" xfId="20594" xr:uid="{00000000-0005-0000-0000-000072500000}"/>
    <cellStyle name="Normal 241 2 3 2 4" xfId="20595" xr:uid="{00000000-0005-0000-0000-000073500000}"/>
    <cellStyle name="Normal 241 2 3 3" xfId="20596" xr:uid="{00000000-0005-0000-0000-000074500000}"/>
    <cellStyle name="Normal 241 2 3 3 2" xfId="20597" xr:uid="{00000000-0005-0000-0000-000075500000}"/>
    <cellStyle name="Normal 241 2 3 3 2 2" xfId="20598" xr:uid="{00000000-0005-0000-0000-000076500000}"/>
    <cellStyle name="Normal 241 2 3 3 3" xfId="20599" xr:uid="{00000000-0005-0000-0000-000077500000}"/>
    <cellStyle name="Normal 241 2 3 4" xfId="20600" xr:uid="{00000000-0005-0000-0000-000078500000}"/>
    <cellStyle name="Normal 241 2 3 4 2" xfId="20601" xr:uid="{00000000-0005-0000-0000-000079500000}"/>
    <cellStyle name="Normal 241 2 3 4 2 2" xfId="20602" xr:uid="{00000000-0005-0000-0000-00007A500000}"/>
    <cellStyle name="Normal 241 2 3 4 3" xfId="20603" xr:uid="{00000000-0005-0000-0000-00007B500000}"/>
    <cellStyle name="Normal 241 2 3 5" xfId="20604" xr:uid="{00000000-0005-0000-0000-00007C500000}"/>
    <cellStyle name="Normal 241 2 3 5 2" xfId="20605" xr:uid="{00000000-0005-0000-0000-00007D500000}"/>
    <cellStyle name="Normal 241 2 3 5 2 2" xfId="20606" xr:uid="{00000000-0005-0000-0000-00007E500000}"/>
    <cellStyle name="Normal 241 2 3 5 3" xfId="20607" xr:uid="{00000000-0005-0000-0000-00007F500000}"/>
    <cellStyle name="Normal 241 2 3 6" xfId="20608" xr:uid="{00000000-0005-0000-0000-000080500000}"/>
    <cellStyle name="Normal 241 2 4" xfId="20609" xr:uid="{00000000-0005-0000-0000-000081500000}"/>
    <cellStyle name="Normal 241 2 4 2" xfId="20610" xr:uid="{00000000-0005-0000-0000-000082500000}"/>
    <cellStyle name="Normal 241 2 4 2 2" xfId="20611" xr:uid="{00000000-0005-0000-0000-000083500000}"/>
    <cellStyle name="Normal 241 2 4 3" xfId="20612" xr:uid="{00000000-0005-0000-0000-000084500000}"/>
    <cellStyle name="Normal 241 2 5" xfId="20613" xr:uid="{00000000-0005-0000-0000-000085500000}"/>
    <cellStyle name="Normal 241 2 5 2" xfId="20614" xr:uid="{00000000-0005-0000-0000-000086500000}"/>
    <cellStyle name="Normal 241 2 5 2 2" xfId="20615" xr:uid="{00000000-0005-0000-0000-000087500000}"/>
    <cellStyle name="Normal 241 2 5 3" xfId="20616" xr:uid="{00000000-0005-0000-0000-000088500000}"/>
    <cellStyle name="Normal 241 2 6" xfId="20617" xr:uid="{00000000-0005-0000-0000-000089500000}"/>
    <cellStyle name="Normal 241 2 6 2" xfId="20618" xr:uid="{00000000-0005-0000-0000-00008A500000}"/>
    <cellStyle name="Normal 241 2 6 2 2" xfId="20619" xr:uid="{00000000-0005-0000-0000-00008B500000}"/>
    <cellStyle name="Normal 241 2 6 3" xfId="20620" xr:uid="{00000000-0005-0000-0000-00008C500000}"/>
    <cellStyle name="Normal 241 2 7" xfId="20621" xr:uid="{00000000-0005-0000-0000-00008D500000}"/>
    <cellStyle name="Normal 241 3" xfId="20622" xr:uid="{00000000-0005-0000-0000-00008E500000}"/>
    <cellStyle name="Normal 241 3 2" xfId="20623" xr:uid="{00000000-0005-0000-0000-00008F500000}"/>
    <cellStyle name="Normal 241 3 2 2" xfId="20624" xr:uid="{00000000-0005-0000-0000-000090500000}"/>
    <cellStyle name="Normal 241 3 3" xfId="20625" xr:uid="{00000000-0005-0000-0000-000091500000}"/>
    <cellStyle name="Normal 241 3 3 2" xfId="20626" xr:uid="{00000000-0005-0000-0000-000092500000}"/>
    <cellStyle name="Normal 241 3 3 2 2" xfId="20627" xr:uid="{00000000-0005-0000-0000-000093500000}"/>
    <cellStyle name="Normal 241 3 3 3" xfId="20628" xr:uid="{00000000-0005-0000-0000-000094500000}"/>
    <cellStyle name="Normal 241 3 4" xfId="20629" xr:uid="{00000000-0005-0000-0000-000095500000}"/>
    <cellStyle name="Normal 241 3 4 2" xfId="20630" xr:uid="{00000000-0005-0000-0000-000096500000}"/>
    <cellStyle name="Normal 241 3 4 2 2" xfId="20631" xr:uid="{00000000-0005-0000-0000-000097500000}"/>
    <cellStyle name="Normal 241 3 4 3" xfId="20632" xr:uid="{00000000-0005-0000-0000-000098500000}"/>
    <cellStyle name="Normal 241 3 5" xfId="20633" xr:uid="{00000000-0005-0000-0000-000099500000}"/>
    <cellStyle name="Normal 241 4" xfId="20634" xr:uid="{00000000-0005-0000-0000-00009A500000}"/>
    <cellStyle name="Normal 241 4 2" xfId="20635" xr:uid="{00000000-0005-0000-0000-00009B500000}"/>
    <cellStyle name="Normal 241 4 2 2" xfId="20636" xr:uid="{00000000-0005-0000-0000-00009C500000}"/>
    <cellStyle name="Normal 241 4 2 2 2" xfId="20637" xr:uid="{00000000-0005-0000-0000-00009D500000}"/>
    <cellStyle name="Normal 241 4 2 3" xfId="20638" xr:uid="{00000000-0005-0000-0000-00009E500000}"/>
    <cellStyle name="Normal 241 4 2 3 2" xfId="20639" xr:uid="{00000000-0005-0000-0000-00009F500000}"/>
    <cellStyle name="Normal 241 4 2 3 2 2" xfId="20640" xr:uid="{00000000-0005-0000-0000-0000A0500000}"/>
    <cellStyle name="Normal 241 4 2 3 3" xfId="20641" xr:uid="{00000000-0005-0000-0000-0000A1500000}"/>
    <cellStyle name="Normal 241 4 2 4" xfId="20642" xr:uid="{00000000-0005-0000-0000-0000A2500000}"/>
    <cellStyle name="Normal 241 4 3" xfId="20643" xr:uid="{00000000-0005-0000-0000-0000A3500000}"/>
    <cellStyle name="Normal 241 4 3 2" xfId="20644" xr:uid="{00000000-0005-0000-0000-0000A4500000}"/>
    <cellStyle name="Normal 241 4 3 2 2" xfId="20645" xr:uid="{00000000-0005-0000-0000-0000A5500000}"/>
    <cellStyle name="Normal 241 4 3 3" xfId="20646" xr:uid="{00000000-0005-0000-0000-0000A6500000}"/>
    <cellStyle name="Normal 241 4 4" xfId="20647" xr:uid="{00000000-0005-0000-0000-0000A7500000}"/>
    <cellStyle name="Normal 241 4 4 2" xfId="20648" xr:uid="{00000000-0005-0000-0000-0000A8500000}"/>
    <cellStyle name="Normal 241 4 4 2 2" xfId="20649" xr:uid="{00000000-0005-0000-0000-0000A9500000}"/>
    <cellStyle name="Normal 241 4 4 3" xfId="20650" xr:uid="{00000000-0005-0000-0000-0000AA500000}"/>
    <cellStyle name="Normal 241 4 5" xfId="20651" xr:uid="{00000000-0005-0000-0000-0000AB500000}"/>
    <cellStyle name="Normal 241 4 5 2" xfId="20652" xr:uid="{00000000-0005-0000-0000-0000AC500000}"/>
    <cellStyle name="Normal 241 4 5 2 2" xfId="20653" xr:uid="{00000000-0005-0000-0000-0000AD500000}"/>
    <cellStyle name="Normal 241 4 5 3" xfId="20654" xr:uid="{00000000-0005-0000-0000-0000AE500000}"/>
    <cellStyle name="Normal 241 4 6" xfId="20655" xr:uid="{00000000-0005-0000-0000-0000AF500000}"/>
    <cellStyle name="Normal 241 5" xfId="20656" xr:uid="{00000000-0005-0000-0000-0000B0500000}"/>
    <cellStyle name="Normal 241 5 2" xfId="20657" xr:uid="{00000000-0005-0000-0000-0000B1500000}"/>
    <cellStyle name="Normal 241 5 2 2" xfId="20658" xr:uid="{00000000-0005-0000-0000-0000B2500000}"/>
    <cellStyle name="Normal 241 5 3" xfId="20659" xr:uid="{00000000-0005-0000-0000-0000B3500000}"/>
    <cellStyle name="Normal 241 6" xfId="20660" xr:uid="{00000000-0005-0000-0000-0000B4500000}"/>
    <cellStyle name="Normal 241 6 2" xfId="20661" xr:uid="{00000000-0005-0000-0000-0000B5500000}"/>
    <cellStyle name="Normal 241 6 2 2" xfId="20662" xr:uid="{00000000-0005-0000-0000-0000B6500000}"/>
    <cellStyle name="Normal 241 6 3" xfId="20663" xr:uid="{00000000-0005-0000-0000-0000B7500000}"/>
    <cellStyle name="Normal 241 7" xfId="20664" xr:uid="{00000000-0005-0000-0000-0000B8500000}"/>
    <cellStyle name="Normal 241 7 2" xfId="20665" xr:uid="{00000000-0005-0000-0000-0000B9500000}"/>
    <cellStyle name="Normal 241 7 2 2" xfId="20666" xr:uid="{00000000-0005-0000-0000-0000BA500000}"/>
    <cellStyle name="Normal 241 7 3" xfId="20667" xr:uid="{00000000-0005-0000-0000-0000BB500000}"/>
    <cellStyle name="Normal 241 8" xfId="20668" xr:uid="{00000000-0005-0000-0000-0000BC500000}"/>
    <cellStyle name="Normal 242" xfId="20669" xr:uid="{00000000-0005-0000-0000-0000BD500000}"/>
    <cellStyle name="Normal 242 2" xfId="20670" xr:uid="{00000000-0005-0000-0000-0000BE500000}"/>
    <cellStyle name="Normal 242 2 2" xfId="20671" xr:uid="{00000000-0005-0000-0000-0000BF500000}"/>
    <cellStyle name="Normal 242 2 2 2" xfId="20672" xr:uid="{00000000-0005-0000-0000-0000C0500000}"/>
    <cellStyle name="Normal 242 2 2 2 2" xfId="20673" xr:uid="{00000000-0005-0000-0000-0000C1500000}"/>
    <cellStyle name="Normal 242 2 2 3" xfId="20674" xr:uid="{00000000-0005-0000-0000-0000C2500000}"/>
    <cellStyle name="Normal 242 2 2 3 2" xfId="20675" xr:uid="{00000000-0005-0000-0000-0000C3500000}"/>
    <cellStyle name="Normal 242 2 2 3 2 2" xfId="20676" xr:uid="{00000000-0005-0000-0000-0000C4500000}"/>
    <cellStyle name="Normal 242 2 2 3 3" xfId="20677" xr:uid="{00000000-0005-0000-0000-0000C5500000}"/>
    <cellStyle name="Normal 242 2 2 4" xfId="20678" xr:uid="{00000000-0005-0000-0000-0000C6500000}"/>
    <cellStyle name="Normal 242 2 2 4 2" xfId="20679" xr:uid="{00000000-0005-0000-0000-0000C7500000}"/>
    <cellStyle name="Normal 242 2 2 4 2 2" xfId="20680" xr:uid="{00000000-0005-0000-0000-0000C8500000}"/>
    <cellStyle name="Normal 242 2 2 4 3" xfId="20681" xr:uid="{00000000-0005-0000-0000-0000C9500000}"/>
    <cellStyle name="Normal 242 2 2 5" xfId="20682" xr:uid="{00000000-0005-0000-0000-0000CA500000}"/>
    <cellStyle name="Normal 242 2 3" xfId="20683" xr:uid="{00000000-0005-0000-0000-0000CB500000}"/>
    <cellStyle name="Normal 242 2 3 2" xfId="20684" xr:uid="{00000000-0005-0000-0000-0000CC500000}"/>
    <cellStyle name="Normal 242 2 3 2 2" xfId="20685" xr:uid="{00000000-0005-0000-0000-0000CD500000}"/>
    <cellStyle name="Normal 242 2 3 2 2 2" xfId="20686" xr:uid="{00000000-0005-0000-0000-0000CE500000}"/>
    <cellStyle name="Normal 242 2 3 2 3" xfId="20687" xr:uid="{00000000-0005-0000-0000-0000CF500000}"/>
    <cellStyle name="Normal 242 2 3 2 3 2" xfId="20688" xr:uid="{00000000-0005-0000-0000-0000D0500000}"/>
    <cellStyle name="Normal 242 2 3 2 3 2 2" xfId="20689" xr:uid="{00000000-0005-0000-0000-0000D1500000}"/>
    <cellStyle name="Normal 242 2 3 2 3 3" xfId="20690" xr:uid="{00000000-0005-0000-0000-0000D2500000}"/>
    <cellStyle name="Normal 242 2 3 2 4" xfId="20691" xr:uid="{00000000-0005-0000-0000-0000D3500000}"/>
    <cellStyle name="Normal 242 2 3 3" xfId="20692" xr:uid="{00000000-0005-0000-0000-0000D4500000}"/>
    <cellStyle name="Normal 242 2 3 3 2" xfId="20693" xr:uid="{00000000-0005-0000-0000-0000D5500000}"/>
    <cellStyle name="Normal 242 2 3 3 2 2" xfId="20694" xr:uid="{00000000-0005-0000-0000-0000D6500000}"/>
    <cellStyle name="Normal 242 2 3 3 3" xfId="20695" xr:uid="{00000000-0005-0000-0000-0000D7500000}"/>
    <cellStyle name="Normal 242 2 3 4" xfId="20696" xr:uid="{00000000-0005-0000-0000-0000D8500000}"/>
    <cellStyle name="Normal 242 2 3 4 2" xfId="20697" xr:uid="{00000000-0005-0000-0000-0000D9500000}"/>
    <cellStyle name="Normal 242 2 3 4 2 2" xfId="20698" xr:uid="{00000000-0005-0000-0000-0000DA500000}"/>
    <cellStyle name="Normal 242 2 3 4 3" xfId="20699" xr:uid="{00000000-0005-0000-0000-0000DB500000}"/>
    <cellStyle name="Normal 242 2 3 5" xfId="20700" xr:uid="{00000000-0005-0000-0000-0000DC500000}"/>
    <cellStyle name="Normal 242 2 3 5 2" xfId="20701" xr:uid="{00000000-0005-0000-0000-0000DD500000}"/>
    <cellStyle name="Normal 242 2 3 5 2 2" xfId="20702" xr:uid="{00000000-0005-0000-0000-0000DE500000}"/>
    <cellStyle name="Normal 242 2 3 5 3" xfId="20703" xr:uid="{00000000-0005-0000-0000-0000DF500000}"/>
    <cellStyle name="Normal 242 2 3 6" xfId="20704" xr:uid="{00000000-0005-0000-0000-0000E0500000}"/>
    <cellStyle name="Normal 242 2 4" xfId="20705" xr:uid="{00000000-0005-0000-0000-0000E1500000}"/>
    <cellStyle name="Normal 242 2 4 2" xfId="20706" xr:uid="{00000000-0005-0000-0000-0000E2500000}"/>
    <cellStyle name="Normal 242 2 4 2 2" xfId="20707" xr:uid="{00000000-0005-0000-0000-0000E3500000}"/>
    <cellStyle name="Normal 242 2 4 3" xfId="20708" xr:uid="{00000000-0005-0000-0000-0000E4500000}"/>
    <cellStyle name="Normal 242 2 5" xfId="20709" xr:uid="{00000000-0005-0000-0000-0000E5500000}"/>
    <cellStyle name="Normal 242 2 5 2" xfId="20710" xr:uid="{00000000-0005-0000-0000-0000E6500000}"/>
    <cellStyle name="Normal 242 2 5 2 2" xfId="20711" xr:uid="{00000000-0005-0000-0000-0000E7500000}"/>
    <cellStyle name="Normal 242 2 5 3" xfId="20712" xr:uid="{00000000-0005-0000-0000-0000E8500000}"/>
    <cellStyle name="Normal 242 2 6" xfId="20713" xr:uid="{00000000-0005-0000-0000-0000E9500000}"/>
    <cellStyle name="Normal 242 2 6 2" xfId="20714" xr:uid="{00000000-0005-0000-0000-0000EA500000}"/>
    <cellStyle name="Normal 242 2 6 2 2" xfId="20715" xr:uid="{00000000-0005-0000-0000-0000EB500000}"/>
    <cellStyle name="Normal 242 2 6 3" xfId="20716" xr:uid="{00000000-0005-0000-0000-0000EC500000}"/>
    <cellStyle name="Normal 242 2 7" xfId="20717" xr:uid="{00000000-0005-0000-0000-0000ED500000}"/>
    <cellStyle name="Normal 242 3" xfId="20718" xr:uid="{00000000-0005-0000-0000-0000EE500000}"/>
    <cellStyle name="Normal 242 3 2" xfId="20719" xr:uid="{00000000-0005-0000-0000-0000EF500000}"/>
    <cellStyle name="Normal 242 3 2 2" xfId="20720" xr:uid="{00000000-0005-0000-0000-0000F0500000}"/>
    <cellStyle name="Normal 242 3 3" xfId="20721" xr:uid="{00000000-0005-0000-0000-0000F1500000}"/>
    <cellStyle name="Normal 242 3 3 2" xfId="20722" xr:uid="{00000000-0005-0000-0000-0000F2500000}"/>
    <cellStyle name="Normal 242 3 3 2 2" xfId="20723" xr:uid="{00000000-0005-0000-0000-0000F3500000}"/>
    <cellStyle name="Normal 242 3 3 3" xfId="20724" xr:uid="{00000000-0005-0000-0000-0000F4500000}"/>
    <cellStyle name="Normal 242 3 4" xfId="20725" xr:uid="{00000000-0005-0000-0000-0000F5500000}"/>
    <cellStyle name="Normal 242 3 4 2" xfId="20726" xr:uid="{00000000-0005-0000-0000-0000F6500000}"/>
    <cellStyle name="Normal 242 3 4 2 2" xfId="20727" xr:uid="{00000000-0005-0000-0000-0000F7500000}"/>
    <cellStyle name="Normal 242 3 4 3" xfId="20728" xr:uid="{00000000-0005-0000-0000-0000F8500000}"/>
    <cellStyle name="Normal 242 3 5" xfId="20729" xr:uid="{00000000-0005-0000-0000-0000F9500000}"/>
    <cellStyle name="Normal 242 4" xfId="20730" xr:uid="{00000000-0005-0000-0000-0000FA500000}"/>
    <cellStyle name="Normal 242 4 2" xfId="20731" xr:uid="{00000000-0005-0000-0000-0000FB500000}"/>
    <cellStyle name="Normal 242 4 2 2" xfId="20732" xr:uid="{00000000-0005-0000-0000-0000FC500000}"/>
    <cellStyle name="Normal 242 4 2 2 2" xfId="20733" xr:uid="{00000000-0005-0000-0000-0000FD500000}"/>
    <cellStyle name="Normal 242 4 2 3" xfId="20734" xr:uid="{00000000-0005-0000-0000-0000FE500000}"/>
    <cellStyle name="Normal 242 4 2 3 2" xfId="20735" xr:uid="{00000000-0005-0000-0000-0000FF500000}"/>
    <cellStyle name="Normal 242 4 2 3 2 2" xfId="20736" xr:uid="{00000000-0005-0000-0000-000000510000}"/>
    <cellStyle name="Normal 242 4 2 3 3" xfId="20737" xr:uid="{00000000-0005-0000-0000-000001510000}"/>
    <cellStyle name="Normal 242 4 2 4" xfId="20738" xr:uid="{00000000-0005-0000-0000-000002510000}"/>
    <cellStyle name="Normal 242 4 3" xfId="20739" xr:uid="{00000000-0005-0000-0000-000003510000}"/>
    <cellStyle name="Normal 242 4 3 2" xfId="20740" xr:uid="{00000000-0005-0000-0000-000004510000}"/>
    <cellStyle name="Normal 242 4 3 2 2" xfId="20741" xr:uid="{00000000-0005-0000-0000-000005510000}"/>
    <cellStyle name="Normal 242 4 3 3" xfId="20742" xr:uid="{00000000-0005-0000-0000-000006510000}"/>
    <cellStyle name="Normal 242 4 4" xfId="20743" xr:uid="{00000000-0005-0000-0000-000007510000}"/>
    <cellStyle name="Normal 242 4 4 2" xfId="20744" xr:uid="{00000000-0005-0000-0000-000008510000}"/>
    <cellStyle name="Normal 242 4 4 2 2" xfId="20745" xr:uid="{00000000-0005-0000-0000-000009510000}"/>
    <cellStyle name="Normal 242 4 4 3" xfId="20746" xr:uid="{00000000-0005-0000-0000-00000A510000}"/>
    <cellStyle name="Normal 242 4 5" xfId="20747" xr:uid="{00000000-0005-0000-0000-00000B510000}"/>
    <cellStyle name="Normal 242 4 5 2" xfId="20748" xr:uid="{00000000-0005-0000-0000-00000C510000}"/>
    <cellStyle name="Normal 242 4 5 2 2" xfId="20749" xr:uid="{00000000-0005-0000-0000-00000D510000}"/>
    <cellStyle name="Normal 242 4 5 3" xfId="20750" xr:uid="{00000000-0005-0000-0000-00000E510000}"/>
    <cellStyle name="Normal 242 4 6" xfId="20751" xr:uid="{00000000-0005-0000-0000-00000F510000}"/>
    <cellStyle name="Normal 242 5" xfId="20752" xr:uid="{00000000-0005-0000-0000-000010510000}"/>
    <cellStyle name="Normal 242 5 2" xfId="20753" xr:uid="{00000000-0005-0000-0000-000011510000}"/>
    <cellStyle name="Normal 242 5 2 2" xfId="20754" xr:uid="{00000000-0005-0000-0000-000012510000}"/>
    <cellStyle name="Normal 242 5 3" xfId="20755" xr:uid="{00000000-0005-0000-0000-000013510000}"/>
    <cellStyle name="Normal 242 6" xfId="20756" xr:uid="{00000000-0005-0000-0000-000014510000}"/>
    <cellStyle name="Normal 242 6 2" xfId="20757" xr:uid="{00000000-0005-0000-0000-000015510000}"/>
    <cellStyle name="Normal 242 6 2 2" xfId="20758" xr:uid="{00000000-0005-0000-0000-000016510000}"/>
    <cellStyle name="Normal 242 6 3" xfId="20759" xr:uid="{00000000-0005-0000-0000-000017510000}"/>
    <cellStyle name="Normal 242 7" xfId="20760" xr:uid="{00000000-0005-0000-0000-000018510000}"/>
    <cellStyle name="Normal 242 7 2" xfId="20761" xr:uid="{00000000-0005-0000-0000-000019510000}"/>
    <cellStyle name="Normal 242 7 2 2" xfId="20762" xr:uid="{00000000-0005-0000-0000-00001A510000}"/>
    <cellStyle name="Normal 242 7 3" xfId="20763" xr:uid="{00000000-0005-0000-0000-00001B510000}"/>
    <cellStyle name="Normal 242 8" xfId="20764" xr:uid="{00000000-0005-0000-0000-00001C510000}"/>
    <cellStyle name="Normal 243" xfId="20765" xr:uid="{00000000-0005-0000-0000-00001D510000}"/>
    <cellStyle name="Normal 243 2" xfId="20766" xr:uid="{00000000-0005-0000-0000-00001E510000}"/>
    <cellStyle name="Normal 243 2 2" xfId="20767" xr:uid="{00000000-0005-0000-0000-00001F510000}"/>
    <cellStyle name="Normal 243 2 2 2" xfId="20768" xr:uid="{00000000-0005-0000-0000-000020510000}"/>
    <cellStyle name="Normal 243 2 2 2 2" xfId="20769" xr:uid="{00000000-0005-0000-0000-000021510000}"/>
    <cellStyle name="Normal 243 2 2 3" xfId="20770" xr:uid="{00000000-0005-0000-0000-000022510000}"/>
    <cellStyle name="Normal 243 2 2 3 2" xfId="20771" xr:uid="{00000000-0005-0000-0000-000023510000}"/>
    <cellStyle name="Normal 243 2 2 3 2 2" xfId="20772" xr:uid="{00000000-0005-0000-0000-000024510000}"/>
    <cellStyle name="Normal 243 2 2 3 3" xfId="20773" xr:uid="{00000000-0005-0000-0000-000025510000}"/>
    <cellStyle name="Normal 243 2 2 4" xfId="20774" xr:uid="{00000000-0005-0000-0000-000026510000}"/>
    <cellStyle name="Normal 243 2 2 4 2" xfId="20775" xr:uid="{00000000-0005-0000-0000-000027510000}"/>
    <cellStyle name="Normal 243 2 2 4 2 2" xfId="20776" xr:uid="{00000000-0005-0000-0000-000028510000}"/>
    <cellStyle name="Normal 243 2 2 4 3" xfId="20777" xr:uid="{00000000-0005-0000-0000-000029510000}"/>
    <cellStyle name="Normal 243 2 2 5" xfId="20778" xr:uid="{00000000-0005-0000-0000-00002A510000}"/>
    <cellStyle name="Normal 243 2 3" xfId="20779" xr:uid="{00000000-0005-0000-0000-00002B510000}"/>
    <cellStyle name="Normal 243 2 3 2" xfId="20780" xr:uid="{00000000-0005-0000-0000-00002C510000}"/>
    <cellStyle name="Normal 243 2 3 2 2" xfId="20781" xr:uid="{00000000-0005-0000-0000-00002D510000}"/>
    <cellStyle name="Normal 243 2 3 2 2 2" xfId="20782" xr:uid="{00000000-0005-0000-0000-00002E510000}"/>
    <cellStyle name="Normal 243 2 3 2 3" xfId="20783" xr:uid="{00000000-0005-0000-0000-00002F510000}"/>
    <cellStyle name="Normal 243 2 3 2 3 2" xfId="20784" xr:uid="{00000000-0005-0000-0000-000030510000}"/>
    <cellStyle name="Normal 243 2 3 2 3 2 2" xfId="20785" xr:uid="{00000000-0005-0000-0000-000031510000}"/>
    <cellStyle name="Normal 243 2 3 2 3 3" xfId="20786" xr:uid="{00000000-0005-0000-0000-000032510000}"/>
    <cellStyle name="Normal 243 2 3 2 4" xfId="20787" xr:uid="{00000000-0005-0000-0000-000033510000}"/>
    <cellStyle name="Normal 243 2 3 3" xfId="20788" xr:uid="{00000000-0005-0000-0000-000034510000}"/>
    <cellStyle name="Normal 243 2 3 3 2" xfId="20789" xr:uid="{00000000-0005-0000-0000-000035510000}"/>
    <cellStyle name="Normal 243 2 3 3 2 2" xfId="20790" xr:uid="{00000000-0005-0000-0000-000036510000}"/>
    <cellStyle name="Normal 243 2 3 3 3" xfId="20791" xr:uid="{00000000-0005-0000-0000-000037510000}"/>
    <cellStyle name="Normal 243 2 3 4" xfId="20792" xr:uid="{00000000-0005-0000-0000-000038510000}"/>
    <cellStyle name="Normal 243 2 3 4 2" xfId="20793" xr:uid="{00000000-0005-0000-0000-000039510000}"/>
    <cellStyle name="Normal 243 2 3 4 2 2" xfId="20794" xr:uid="{00000000-0005-0000-0000-00003A510000}"/>
    <cellStyle name="Normal 243 2 3 4 3" xfId="20795" xr:uid="{00000000-0005-0000-0000-00003B510000}"/>
    <cellStyle name="Normal 243 2 3 5" xfId="20796" xr:uid="{00000000-0005-0000-0000-00003C510000}"/>
    <cellStyle name="Normal 243 2 3 5 2" xfId="20797" xr:uid="{00000000-0005-0000-0000-00003D510000}"/>
    <cellStyle name="Normal 243 2 3 5 2 2" xfId="20798" xr:uid="{00000000-0005-0000-0000-00003E510000}"/>
    <cellStyle name="Normal 243 2 3 5 3" xfId="20799" xr:uid="{00000000-0005-0000-0000-00003F510000}"/>
    <cellStyle name="Normal 243 2 3 6" xfId="20800" xr:uid="{00000000-0005-0000-0000-000040510000}"/>
    <cellStyle name="Normal 243 2 4" xfId="20801" xr:uid="{00000000-0005-0000-0000-000041510000}"/>
    <cellStyle name="Normal 243 2 4 2" xfId="20802" xr:uid="{00000000-0005-0000-0000-000042510000}"/>
    <cellStyle name="Normal 243 2 4 2 2" xfId="20803" xr:uid="{00000000-0005-0000-0000-000043510000}"/>
    <cellStyle name="Normal 243 2 4 3" xfId="20804" xr:uid="{00000000-0005-0000-0000-000044510000}"/>
    <cellStyle name="Normal 243 2 5" xfId="20805" xr:uid="{00000000-0005-0000-0000-000045510000}"/>
    <cellStyle name="Normal 243 2 5 2" xfId="20806" xr:uid="{00000000-0005-0000-0000-000046510000}"/>
    <cellStyle name="Normal 243 2 5 2 2" xfId="20807" xr:uid="{00000000-0005-0000-0000-000047510000}"/>
    <cellStyle name="Normal 243 2 5 3" xfId="20808" xr:uid="{00000000-0005-0000-0000-000048510000}"/>
    <cellStyle name="Normal 243 2 6" xfId="20809" xr:uid="{00000000-0005-0000-0000-000049510000}"/>
    <cellStyle name="Normal 243 2 6 2" xfId="20810" xr:uid="{00000000-0005-0000-0000-00004A510000}"/>
    <cellStyle name="Normal 243 2 6 2 2" xfId="20811" xr:uid="{00000000-0005-0000-0000-00004B510000}"/>
    <cellStyle name="Normal 243 2 6 3" xfId="20812" xr:uid="{00000000-0005-0000-0000-00004C510000}"/>
    <cellStyle name="Normal 243 2 7" xfId="20813" xr:uid="{00000000-0005-0000-0000-00004D510000}"/>
    <cellStyle name="Normal 243 3" xfId="20814" xr:uid="{00000000-0005-0000-0000-00004E510000}"/>
    <cellStyle name="Normal 243 3 2" xfId="20815" xr:uid="{00000000-0005-0000-0000-00004F510000}"/>
    <cellStyle name="Normal 243 3 2 2" xfId="20816" xr:uid="{00000000-0005-0000-0000-000050510000}"/>
    <cellStyle name="Normal 243 3 3" xfId="20817" xr:uid="{00000000-0005-0000-0000-000051510000}"/>
    <cellStyle name="Normal 243 3 3 2" xfId="20818" xr:uid="{00000000-0005-0000-0000-000052510000}"/>
    <cellStyle name="Normal 243 3 3 2 2" xfId="20819" xr:uid="{00000000-0005-0000-0000-000053510000}"/>
    <cellStyle name="Normal 243 3 3 3" xfId="20820" xr:uid="{00000000-0005-0000-0000-000054510000}"/>
    <cellStyle name="Normal 243 3 4" xfId="20821" xr:uid="{00000000-0005-0000-0000-000055510000}"/>
    <cellStyle name="Normal 243 3 4 2" xfId="20822" xr:uid="{00000000-0005-0000-0000-000056510000}"/>
    <cellStyle name="Normal 243 3 4 2 2" xfId="20823" xr:uid="{00000000-0005-0000-0000-000057510000}"/>
    <cellStyle name="Normal 243 3 4 3" xfId="20824" xr:uid="{00000000-0005-0000-0000-000058510000}"/>
    <cellStyle name="Normal 243 3 5" xfId="20825" xr:uid="{00000000-0005-0000-0000-000059510000}"/>
    <cellStyle name="Normal 243 4" xfId="20826" xr:uid="{00000000-0005-0000-0000-00005A510000}"/>
    <cellStyle name="Normal 243 4 2" xfId="20827" xr:uid="{00000000-0005-0000-0000-00005B510000}"/>
    <cellStyle name="Normal 243 4 2 2" xfId="20828" xr:uid="{00000000-0005-0000-0000-00005C510000}"/>
    <cellStyle name="Normal 243 4 2 2 2" xfId="20829" xr:uid="{00000000-0005-0000-0000-00005D510000}"/>
    <cellStyle name="Normal 243 4 2 3" xfId="20830" xr:uid="{00000000-0005-0000-0000-00005E510000}"/>
    <cellStyle name="Normal 243 4 2 3 2" xfId="20831" xr:uid="{00000000-0005-0000-0000-00005F510000}"/>
    <cellStyle name="Normal 243 4 2 3 2 2" xfId="20832" xr:uid="{00000000-0005-0000-0000-000060510000}"/>
    <cellStyle name="Normal 243 4 2 3 3" xfId="20833" xr:uid="{00000000-0005-0000-0000-000061510000}"/>
    <cellStyle name="Normal 243 4 2 4" xfId="20834" xr:uid="{00000000-0005-0000-0000-000062510000}"/>
    <cellStyle name="Normal 243 4 3" xfId="20835" xr:uid="{00000000-0005-0000-0000-000063510000}"/>
    <cellStyle name="Normal 243 4 3 2" xfId="20836" xr:uid="{00000000-0005-0000-0000-000064510000}"/>
    <cellStyle name="Normal 243 4 3 2 2" xfId="20837" xr:uid="{00000000-0005-0000-0000-000065510000}"/>
    <cellStyle name="Normal 243 4 3 3" xfId="20838" xr:uid="{00000000-0005-0000-0000-000066510000}"/>
    <cellStyle name="Normal 243 4 4" xfId="20839" xr:uid="{00000000-0005-0000-0000-000067510000}"/>
    <cellStyle name="Normal 243 4 4 2" xfId="20840" xr:uid="{00000000-0005-0000-0000-000068510000}"/>
    <cellStyle name="Normal 243 4 4 2 2" xfId="20841" xr:uid="{00000000-0005-0000-0000-000069510000}"/>
    <cellStyle name="Normal 243 4 4 3" xfId="20842" xr:uid="{00000000-0005-0000-0000-00006A510000}"/>
    <cellStyle name="Normal 243 4 5" xfId="20843" xr:uid="{00000000-0005-0000-0000-00006B510000}"/>
    <cellStyle name="Normal 243 4 5 2" xfId="20844" xr:uid="{00000000-0005-0000-0000-00006C510000}"/>
    <cellStyle name="Normal 243 4 5 2 2" xfId="20845" xr:uid="{00000000-0005-0000-0000-00006D510000}"/>
    <cellStyle name="Normal 243 4 5 3" xfId="20846" xr:uid="{00000000-0005-0000-0000-00006E510000}"/>
    <cellStyle name="Normal 243 4 6" xfId="20847" xr:uid="{00000000-0005-0000-0000-00006F510000}"/>
    <cellStyle name="Normal 243 5" xfId="20848" xr:uid="{00000000-0005-0000-0000-000070510000}"/>
    <cellStyle name="Normal 243 5 2" xfId="20849" xr:uid="{00000000-0005-0000-0000-000071510000}"/>
    <cellStyle name="Normal 243 5 2 2" xfId="20850" xr:uid="{00000000-0005-0000-0000-000072510000}"/>
    <cellStyle name="Normal 243 5 3" xfId="20851" xr:uid="{00000000-0005-0000-0000-000073510000}"/>
    <cellStyle name="Normal 243 6" xfId="20852" xr:uid="{00000000-0005-0000-0000-000074510000}"/>
    <cellStyle name="Normal 243 6 2" xfId="20853" xr:uid="{00000000-0005-0000-0000-000075510000}"/>
    <cellStyle name="Normal 243 6 2 2" xfId="20854" xr:uid="{00000000-0005-0000-0000-000076510000}"/>
    <cellStyle name="Normal 243 6 3" xfId="20855" xr:uid="{00000000-0005-0000-0000-000077510000}"/>
    <cellStyle name="Normal 243 7" xfId="20856" xr:uid="{00000000-0005-0000-0000-000078510000}"/>
    <cellStyle name="Normal 243 7 2" xfId="20857" xr:uid="{00000000-0005-0000-0000-000079510000}"/>
    <cellStyle name="Normal 243 7 2 2" xfId="20858" xr:uid="{00000000-0005-0000-0000-00007A510000}"/>
    <cellStyle name="Normal 243 7 3" xfId="20859" xr:uid="{00000000-0005-0000-0000-00007B510000}"/>
    <cellStyle name="Normal 243 8" xfId="20860" xr:uid="{00000000-0005-0000-0000-00007C510000}"/>
    <cellStyle name="Normal 244" xfId="20861" xr:uid="{00000000-0005-0000-0000-00007D510000}"/>
    <cellStyle name="Normal 244 2" xfId="20862" xr:uid="{00000000-0005-0000-0000-00007E510000}"/>
    <cellStyle name="Normal 244 2 2" xfId="20863" xr:uid="{00000000-0005-0000-0000-00007F510000}"/>
    <cellStyle name="Normal 244 2 2 2" xfId="20864" xr:uid="{00000000-0005-0000-0000-000080510000}"/>
    <cellStyle name="Normal 244 2 2 2 2" xfId="20865" xr:uid="{00000000-0005-0000-0000-000081510000}"/>
    <cellStyle name="Normal 244 2 2 3" xfId="20866" xr:uid="{00000000-0005-0000-0000-000082510000}"/>
    <cellStyle name="Normal 244 2 2 3 2" xfId="20867" xr:uid="{00000000-0005-0000-0000-000083510000}"/>
    <cellStyle name="Normal 244 2 2 3 2 2" xfId="20868" xr:uid="{00000000-0005-0000-0000-000084510000}"/>
    <cellStyle name="Normal 244 2 2 3 3" xfId="20869" xr:uid="{00000000-0005-0000-0000-000085510000}"/>
    <cellStyle name="Normal 244 2 2 4" xfId="20870" xr:uid="{00000000-0005-0000-0000-000086510000}"/>
    <cellStyle name="Normal 244 2 2 4 2" xfId="20871" xr:uid="{00000000-0005-0000-0000-000087510000}"/>
    <cellStyle name="Normal 244 2 2 4 2 2" xfId="20872" xr:uid="{00000000-0005-0000-0000-000088510000}"/>
    <cellStyle name="Normal 244 2 2 4 3" xfId="20873" xr:uid="{00000000-0005-0000-0000-000089510000}"/>
    <cellStyle name="Normal 244 2 2 5" xfId="20874" xr:uid="{00000000-0005-0000-0000-00008A510000}"/>
    <cellStyle name="Normal 244 2 3" xfId="20875" xr:uid="{00000000-0005-0000-0000-00008B510000}"/>
    <cellStyle name="Normal 244 2 3 2" xfId="20876" xr:uid="{00000000-0005-0000-0000-00008C510000}"/>
    <cellStyle name="Normal 244 2 3 2 2" xfId="20877" xr:uid="{00000000-0005-0000-0000-00008D510000}"/>
    <cellStyle name="Normal 244 2 3 2 2 2" xfId="20878" xr:uid="{00000000-0005-0000-0000-00008E510000}"/>
    <cellStyle name="Normal 244 2 3 2 3" xfId="20879" xr:uid="{00000000-0005-0000-0000-00008F510000}"/>
    <cellStyle name="Normal 244 2 3 2 3 2" xfId="20880" xr:uid="{00000000-0005-0000-0000-000090510000}"/>
    <cellStyle name="Normal 244 2 3 2 3 2 2" xfId="20881" xr:uid="{00000000-0005-0000-0000-000091510000}"/>
    <cellStyle name="Normal 244 2 3 2 3 3" xfId="20882" xr:uid="{00000000-0005-0000-0000-000092510000}"/>
    <cellStyle name="Normal 244 2 3 2 4" xfId="20883" xr:uid="{00000000-0005-0000-0000-000093510000}"/>
    <cellStyle name="Normal 244 2 3 3" xfId="20884" xr:uid="{00000000-0005-0000-0000-000094510000}"/>
    <cellStyle name="Normal 244 2 3 3 2" xfId="20885" xr:uid="{00000000-0005-0000-0000-000095510000}"/>
    <cellStyle name="Normal 244 2 3 3 2 2" xfId="20886" xr:uid="{00000000-0005-0000-0000-000096510000}"/>
    <cellStyle name="Normal 244 2 3 3 3" xfId="20887" xr:uid="{00000000-0005-0000-0000-000097510000}"/>
    <cellStyle name="Normal 244 2 3 4" xfId="20888" xr:uid="{00000000-0005-0000-0000-000098510000}"/>
    <cellStyle name="Normal 244 2 3 4 2" xfId="20889" xr:uid="{00000000-0005-0000-0000-000099510000}"/>
    <cellStyle name="Normal 244 2 3 4 2 2" xfId="20890" xr:uid="{00000000-0005-0000-0000-00009A510000}"/>
    <cellStyle name="Normal 244 2 3 4 3" xfId="20891" xr:uid="{00000000-0005-0000-0000-00009B510000}"/>
    <cellStyle name="Normal 244 2 3 5" xfId="20892" xr:uid="{00000000-0005-0000-0000-00009C510000}"/>
    <cellStyle name="Normal 244 2 3 5 2" xfId="20893" xr:uid="{00000000-0005-0000-0000-00009D510000}"/>
    <cellStyle name="Normal 244 2 3 5 2 2" xfId="20894" xr:uid="{00000000-0005-0000-0000-00009E510000}"/>
    <cellStyle name="Normal 244 2 3 5 3" xfId="20895" xr:uid="{00000000-0005-0000-0000-00009F510000}"/>
    <cellStyle name="Normal 244 2 3 6" xfId="20896" xr:uid="{00000000-0005-0000-0000-0000A0510000}"/>
    <cellStyle name="Normal 244 2 4" xfId="20897" xr:uid="{00000000-0005-0000-0000-0000A1510000}"/>
    <cellStyle name="Normal 244 2 4 2" xfId="20898" xr:uid="{00000000-0005-0000-0000-0000A2510000}"/>
    <cellStyle name="Normal 244 2 4 2 2" xfId="20899" xr:uid="{00000000-0005-0000-0000-0000A3510000}"/>
    <cellStyle name="Normal 244 2 4 3" xfId="20900" xr:uid="{00000000-0005-0000-0000-0000A4510000}"/>
    <cellStyle name="Normal 244 2 5" xfId="20901" xr:uid="{00000000-0005-0000-0000-0000A5510000}"/>
    <cellStyle name="Normal 244 2 5 2" xfId="20902" xr:uid="{00000000-0005-0000-0000-0000A6510000}"/>
    <cellStyle name="Normal 244 2 5 2 2" xfId="20903" xr:uid="{00000000-0005-0000-0000-0000A7510000}"/>
    <cellStyle name="Normal 244 2 5 3" xfId="20904" xr:uid="{00000000-0005-0000-0000-0000A8510000}"/>
    <cellStyle name="Normal 244 2 6" xfId="20905" xr:uid="{00000000-0005-0000-0000-0000A9510000}"/>
    <cellStyle name="Normal 244 2 6 2" xfId="20906" xr:uid="{00000000-0005-0000-0000-0000AA510000}"/>
    <cellStyle name="Normal 244 2 6 2 2" xfId="20907" xr:uid="{00000000-0005-0000-0000-0000AB510000}"/>
    <cellStyle name="Normal 244 2 6 3" xfId="20908" xr:uid="{00000000-0005-0000-0000-0000AC510000}"/>
    <cellStyle name="Normal 244 2 7" xfId="20909" xr:uid="{00000000-0005-0000-0000-0000AD510000}"/>
    <cellStyle name="Normal 244 3" xfId="20910" xr:uid="{00000000-0005-0000-0000-0000AE510000}"/>
    <cellStyle name="Normal 244 3 2" xfId="20911" xr:uid="{00000000-0005-0000-0000-0000AF510000}"/>
    <cellStyle name="Normal 244 3 2 2" xfId="20912" xr:uid="{00000000-0005-0000-0000-0000B0510000}"/>
    <cellStyle name="Normal 244 3 3" xfId="20913" xr:uid="{00000000-0005-0000-0000-0000B1510000}"/>
    <cellStyle name="Normal 244 3 3 2" xfId="20914" xr:uid="{00000000-0005-0000-0000-0000B2510000}"/>
    <cellStyle name="Normal 244 3 3 2 2" xfId="20915" xr:uid="{00000000-0005-0000-0000-0000B3510000}"/>
    <cellStyle name="Normal 244 3 3 3" xfId="20916" xr:uid="{00000000-0005-0000-0000-0000B4510000}"/>
    <cellStyle name="Normal 244 3 4" xfId="20917" xr:uid="{00000000-0005-0000-0000-0000B5510000}"/>
    <cellStyle name="Normal 244 3 4 2" xfId="20918" xr:uid="{00000000-0005-0000-0000-0000B6510000}"/>
    <cellStyle name="Normal 244 3 4 2 2" xfId="20919" xr:uid="{00000000-0005-0000-0000-0000B7510000}"/>
    <cellStyle name="Normal 244 3 4 3" xfId="20920" xr:uid="{00000000-0005-0000-0000-0000B8510000}"/>
    <cellStyle name="Normal 244 3 5" xfId="20921" xr:uid="{00000000-0005-0000-0000-0000B9510000}"/>
    <cellStyle name="Normal 244 4" xfId="20922" xr:uid="{00000000-0005-0000-0000-0000BA510000}"/>
    <cellStyle name="Normal 244 4 2" xfId="20923" xr:uid="{00000000-0005-0000-0000-0000BB510000}"/>
    <cellStyle name="Normal 244 4 2 2" xfId="20924" xr:uid="{00000000-0005-0000-0000-0000BC510000}"/>
    <cellStyle name="Normal 244 4 2 2 2" xfId="20925" xr:uid="{00000000-0005-0000-0000-0000BD510000}"/>
    <cellStyle name="Normal 244 4 2 3" xfId="20926" xr:uid="{00000000-0005-0000-0000-0000BE510000}"/>
    <cellStyle name="Normal 244 4 2 3 2" xfId="20927" xr:uid="{00000000-0005-0000-0000-0000BF510000}"/>
    <cellStyle name="Normal 244 4 2 3 2 2" xfId="20928" xr:uid="{00000000-0005-0000-0000-0000C0510000}"/>
    <cellStyle name="Normal 244 4 2 3 3" xfId="20929" xr:uid="{00000000-0005-0000-0000-0000C1510000}"/>
    <cellStyle name="Normal 244 4 2 4" xfId="20930" xr:uid="{00000000-0005-0000-0000-0000C2510000}"/>
    <cellStyle name="Normal 244 4 3" xfId="20931" xr:uid="{00000000-0005-0000-0000-0000C3510000}"/>
    <cellStyle name="Normal 244 4 3 2" xfId="20932" xr:uid="{00000000-0005-0000-0000-0000C4510000}"/>
    <cellStyle name="Normal 244 4 3 2 2" xfId="20933" xr:uid="{00000000-0005-0000-0000-0000C5510000}"/>
    <cellStyle name="Normal 244 4 3 3" xfId="20934" xr:uid="{00000000-0005-0000-0000-0000C6510000}"/>
    <cellStyle name="Normal 244 4 4" xfId="20935" xr:uid="{00000000-0005-0000-0000-0000C7510000}"/>
    <cellStyle name="Normal 244 4 4 2" xfId="20936" xr:uid="{00000000-0005-0000-0000-0000C8510000}"/>
    <cellStyle name="Normal 244 4 4 2 2" xfId="20937" xr:uid="{00000000-0005-0000-0000-0000C9510000}"/>
    <cellStyle name="Normal 244 4 4 3" xfId="20938" xr:uid="{00000000-0005-0000-0000-0000CA510000}"/>
    <cellStyle name="Normal 244 4 5" xfId="20939" xr:uid="{00000000-0005-0000-0000-0000CB510000}"/>
    <cellStyle name="Normal 244 4 5 2" xfId="20940" xr:uid="{00000000-0005-0000-0000-0000CC510000}"/>
    <cellStyle name="Normal 244 4 5 2 2" xfId="20941" xr:uid="{00000000-0005-0000-0000-0000CD510000}"/>
    <cellStyle name="Normal 244 4 5 3" xfId="20942" xr:uid="{00000000-0005-0000-0000-0000CE510000}"/>
    <cellStyle name="Normal 244 4 6" xfId="20943" xr:uid="{00000000-0005-0000-0000-0000CF510000}"/>
    <cellStyle name="Normal 244 5" xfId="20944" xr:uid="{00000000-0005-0000-0000-0000D0510000}"/>
    <cellStyle name="Normal 244 5 2" xfId="20945" xr:uid="{00000000-0005-0000-0000-0000D1510000}"/>
    <cellStyle name="Normal 244 5 2 2" xfId="20946" xr:uid="{00000000-0005-0000-0000-0000D2510000}"/>
    <cellStyle name="Normal 244 5 3" xfId="20947" xr:uid="{00000000-0005-0000-0000-0000D3510000}"/>
    <cellStyle name="Normal 244 6" xfId="20948" xr:uid="{00000000-0005-0000-0000-0000D4510000}"/>
    <cellStyle name="Normal 244 6 2" xfId="20949" xr:uid="{00000000-0005-0000-0000-0000D5510000}"/>
    <cellStyle name="Normal 244 6 2 2" xfId="20950" xr:uid="{00000000-0005-0000-0000-0000D6510000}"/>
    <cellStyle name="Normal 244 6 3" xfId="20951" xr:uid="{00000000-0005-0000-0000-0000D7510000}"/>
    <cellStyle name="Normal 244 7" xfId="20952" xr:uid="{00000000-0005-0000-0000-0000D8510000}"/>
    <cellStyle name="Normal 244 7 2" xfId="20953" xr:uid="{00000000-0005-0000-0000-0000D9510000}"/>
    <cellStyle name="Normal 244 7 2 2" xfId="20954" xr:uid="{00000000-0005-0000-0000-0000DA510000}"/>
    <cellStyle name="Normal 244 7 3" xfId="20955" xr:uid="{00000000-0005-0000-0000-0000DB510000}"/>
    <cellStyle name="Normal 244 8" xfId="20956" xr:uid="{00000000-0005-0000-0000-0000DC510000}"/>
    <cellStyle name="Normal 245" xfId="20957" xr:uid="{00000000-0005-0000-0000-0000DD510000}"/>
    <cellStyle name="Normal 245 2" xfId="20958" xr:uid="{00000000-0005-0000-0000-0000DE510000}"/>
    <cellStyle name="Normal 245 2 2" xfId="20959" xr:uid="{00000000-0005-0000-0000-0000DF510000}"/>
    <cellStyle name="Normal 245 2 2 2" xfId="20960" xr:uid="{00000000-0005-0000-0000-0000E0510000}"/>
    <cellStyle name="Normal 245 2 2 2 2" xfId="20961" xr:uid="{00000000-0005-0000-0000-0000E1510000}"/>
    <cellStyle name="Normal 245 2 2 3" xfId="20962" xr:uid="{00000000-0005-0000-0000-0000E2510000}"/>
    <cellStyle name="Normal 245 2 2 3 2" xfId="20963" xr:uid="{00000000-0005-0000-0000-0000E3510000}"/>
    <cellStyle name="Normal 245 2 2 3 2 2" xfId="20964" xr:uid="{00000000-0005-0000-0000-0000E4510000}"/>
    <cellStyle name="Normal 245 2 2 3 3" xfId="20965" xr:uid="{00000000-0005-0000-0000-0000E5510000}"/>
    <cellStyle name="Normal 245 2 2 4" xfId="20966" xr:uid="{00000000-0005-0000-0000-0000E6510000}"/>
    <cellStyle name="Normal 245 2 2 4 2" xfId="20967" xr:uid="{00000000-0005-0000-0000-0000E7510000}"/>
    <cellStyle name="Normal 245 2 2 4 2 2" xfId="20968" xr:uid="{00000000-0005-0000-0000-0000E8510000}"/>
    <cellStyle name="Normal 245 2 2 4 3" xfId="20969" xr:uid="{00000000-0005-0000-0000-0000E9510000}"/>
    <cellStyle name="Normal 245 2 2 5" xfId="20970" xr:uid="{00000000-0005-0000-0000-0000EA510000}"/>
    <cellStyle name="Normal 245 2 3" xfId="20971" xr:uid="{00000000-0005-0000-0000-0000EB510000}"/>
    <cellStyle name="Normal 245 2 3 2" xfId="20972" xr:uid="{00000000-0005-0000-0000-0000EC510000}"/>
    <cellStyle name="Normal 245 2 3 2 2" xfId="20973" xr:uid="{00000000-0005-0000-0000-0000ED510000}"/>
    <cellStyle name="Normal 245 2 3 2 2 2" xfId="20974" xr:uid="{00000000-0005-0000-0000-0000EE510000}"/>
    <cellStyle name="Normal 245 2 3 2 3" xfId="20975" xr:uid="{00000000-0005-0000-0000-0000EF510000}"/>
    <cellStyle name="Normal 245 2 3 2 3 2" xfId="20976" xr:uid="{00000000-0005-0000-0000-0000F0510000}"/>
    <cellStyle name="Normal 245 2 3 2 3 2 2" xfId="20977" xr:uid="{00000000-0005-0000-0000-0000F1510000}"/>
    <cellStyle name="Normal 245 2 3 2 3 3" xfId="20978" xr:uid="{00000000-0005-0000-0000-0000F2510000}"/>
    <cellStyle name="Normal 245 2 3 2 4" xfId="20979" xr:uid="{00000000-0005-0000-0000-0000F3510000}"/>
    <cellStyle name="Normal 245 2 3 3" xfId="20980" xr:uid="{00000000-0005-0000-0000-0000F4510000}"/>
    <cellStyle name="Normal 245 2 3 3 2" xfId="20981" xr:uid="{00000000-0005-0000-0000-0000F5510000}"/>
    <cellStyle name="Normal 245 2 3 3 2 2" xfId="20982" xr:uid="{00000000-0005-0000-0000-0000F6510000}"/>
    <cellStyle name="Normal 245 2 3 3 3" xfId="20983" xr:uid="{00000000-0005-0000-0000-0000F7510000}"/>
    <cellStyle name="Normal 245 2 3 4" xfId="20984" xr:uid="{00000000-0005-0000-0000-0000F8510000}"/>
    <cellStyle name="Normal 245 2 3 4 2" xfId="20985" xr:uid="{00000000-0005-0000-0000-0000F9510000}"/>
    <cellStyle name="Normal 245 2 3 4 2 2" xfId="20986" xr:uid="{00000000-0005-0000-0000-0000FA510000}"/>
    <cellStyle name="Normal 245 2 3 4 3" xfId="20987" xr:uid="{00000000-0005-0000-0000-0000FB510000}"/>
    <cellStyle name="Normal 245 2 3 5" xfId="20988" xr:uid="{00000000-0005-0000-0000-0000FC510000}"/>
    <cellStyle name="Normal 245 2 3 5 2" xfId="20989" xr:uid="{00000000-0005-0000-0000-0000FD510000}"/>
    <cellStyle name="Normal 245 2 3 5 2 2" xfId="20990" xr:uid="{00000000-0005-0000-0000-0000FE510000}"/>
    <cellStyle name="Normal 245 2 3 5 3" xfId="20991" xr:uid="{00000000-0005-0000-0000-0000FF510000}"/>
    <cellStyle name="Normal 245 2 3 6" xfId="20992" xr:uid="{00000000-0005-0000-0000-000000520000}"/>
    <cellStyle name="Normal 245 2 4" xfId="20993" xr:uid="{00000000-0005-0000-0000-000001520000}"/>
    <cellStyle name="Normal 245 2 4 2" xfId="20994" xr:uid="{00000000-0005-0000-0000-000002520000}"/>
    <cellStyle name="Normal 245 2 4 2 2" xfId="20995" xr:uid="{00000000-0005-0000-0000-000003520000}"/>
    <cellStyle name="Normal 245 2 4 3" xfId="20996" xr:uid="{00000000-0005-0000-0000-000004520000}"/>
    <cellStyle name="Normal 245 2 5" xfId="20997" xr:uid="{00000000-0005-0000-0000-000005520000}"/>
    <cellStyle name="Normal 245 2 5 2" xfId="20998" xr:uid="{00000000-0005-0000-0000-000006520000}"/>
    <cellStyle name="Normal 245 2 5 2 2" xfId="20999" xr:uid="{00000000-0005-0000-0000-000007520000}"/>
    <cellStyle name="Normal 245 2 5 3" xfId="21000" xr:uid="{00000000-0005-0000-0000-000008520000}"/>
    <cellStyle name="Normal 245 2 6" xfId="21001" xr:uid="{00000000-0005-0000-0000-000009520000}"/>
    <cellStyle name="Normal 245 2 6 2" xfId="21002" xr:uid="{00000000-0005-0000-0000-00000A520000}"/>
    <cellStyle name="Normal 245 2 6 2 2" xfId="21003" xr:uid="{00000000-0005-0000-0000-00000B520000}"/>
    <cellStyle name="Normal 245 2 6 3" xfId="21004" xr:uid="{00000000-0005-0000-0000-00000C520000}"/>
    <cellStyle name="Normal 245 2 7" xfId="21005" xr:uid="{00000000-0005-0000-0000-00000D520000}"/>
    <cellStyle name="Normal 245 3" xfId="21006" xr:uid="{00000000-0005-0000-0000-00000E520000}"/>
    <cellStyle name="Normal 245 3 2" xfId="21007" xr:uid="{00000000-0005-0000-0000-00000F520000}"/>
    <cellStyle name="Normal 245 3 2 2" xfId="21008" xr:uid="{00000000-0005-0000-0000-000010520000}"/>
    <cellStyle name="Normal 245 3 3" xfId="21009" xr:uid="{00000000-0005-0000-0000-000011520000}"/>
    <cellStyle name="Normal 245 3 3 2" xfId="21010" xr:uid="{00000000-0005-0000-0000-000012520000}"/>
    <cellStyle name="Normal 245 3 3 2 2" xfId="21011" xr:uid="{00000000-0005-0000-0000-000013520000}"/>
    <cellStyle name="Normal 245 3 3 3" xfId="21012" xr:uid="{00000000-0005-0000-0000-000014520000}"/>
    <cellStyle name="Normal 245 3 4" xfId="21013" xr:uid="{00000000-0005-0000-0000-000015520000}"/>
    <cellStyle name="Normal 245 3 4 2" xfId="21014" xr:uid="{00000000-0005-0000-0000-000016520000}"/>
    <cellStyle name="Normal 245 3 4 2 2" xfId="21015" xr:uid="{00000000-0005-0000-0000-000017520000}"/>
    <cellStyle name="Normal 245 3 4 3" xfId="21016" xr:uid="{00000000-0005-0000-0000-000018520000}"/>
    <cellStyle name="Normal 245 3 5" xfId="21017" xr:uid="{00000000-0005-0000-0000-000019520000}"/>
    <cellStyle name="Normal 245 4" xfId="21018" xr:uid="{00000000-0005-0000-0000-00001A520000}"/>
    <cellStyle name="Normal 245 4 2" xfId="21019" xr:uid="{00000000-0005-0000-0000-00001B520000}"/>
    <cellStyle name="Normal 245 4 2 2" xfId="21020" xr:uid="{00000000-0005-0000-0000-00001C520000}"/>
    <cellStyle name="Normal 245 4 2 2 2" xfId="21021" xr:uid="{00000000-0005-0000-0000-00001D520000}"/>
    <cellStyle name="Normal 245 4 2 3" xfId="21022" xr:uid="{00000000-0005-0000-0000-00001E520000}"/>
    <cellStyle name="Normal 245 4 2 3 2" xfId="21023" xr:uid="{00000000-0005-0000-0000-00001F520000}"/>
    <cellStyle name="Normal 245 4 2 3 2 2" xfId="21024" xr:uid="{00000000-0005-0000-0000-000020520000}"/>
    <cellStyle name="Normal 245 4 2 3 3" xfId="21025" xr:uid="{00000000-0005-0000-0000-000021520000}"/>
    <cellStyle name="Normal 245 4 2 4" xfId="21026" xr:uid="{00000000-0005-0000-0000-000022520000}"/>
    <cellStyle name="Normal 245 4 3" xfId="21027" xr:uid="{00000000-0005-0000-0000-000023520000}"/>
    <cellStyle name="Normal 245 4 3 2" xfId="21028" xr:uid="{00000000-0005-0000-0000-000024520000}"/>
    <cellStyle name="Normal 245 4 3 2 2" xfId="21029" xr:uid="{00000000-0005-0000-0000-000025520000}"/>
    <cellStyle name="Normal 245 4 3 3" xfId="21030" xr:uid="{00000000-0005-0000-0000-000026520000}"/>
    <cellStyle name="Normal 245 4 4" xfId="21031" xr:uid="{00000000-0005-0000-0000-000027520000}"/>
    <cellStyle name="Normal 245 4 4 2" xfId="21032" xr:uid="{00000000-0005-0000-0000-000028520000}"/>
    <cellStyle name="Normal 245 4 4 2 2" xfId="21033" xr:uid="{00000000-0005-0000-0000-000029520000}"/>
    <cellStyle name="Normal 245 4 4 3" xfId="21034" xr:uid="{00000000-0005-0000-0000-00002A520000}"/>
    <cellStyle name="Normal 245 4 5" xfId="21035" xr:uid="{00000000-0005-0000-0000-00002B520000}"/>
    <cellStyle name="Normal 245 4 5 2" xfId="21036" xr:uid="{00000000-0005-0000-0000-00002C520000}"/>
    <cellStyle name="Normal 245 4 5 2 2" xfId="21037" xr:uid="{00000000-0005-0000-0000-00002D520000}"/>
    <cellStyle name="Normal 245 4 5 3" xfId="21038" xr:uid="{00000000-0005-0000-0000-00002E520000}"/>
    <cellStyle name="Normal 245 4 6" xfId="21039" xr:uid="{00000000-0005-0000-0000-00002F520000}"/>
    <cellStyle name="Normal 245 5" xfId="21040" xr:uid="{00000000-0005-0000-0000-000030520000}"/>
    <cellStyle name="Normal 245 5 2" xfId="21041" xr:uid="{00000000-0005-0000-0000-000031520000}"/>
    <cellStyle name="Normal 245 5 2 2" xfId="21042" xr:uid="{00000000-0005-0000-0000-000032520000}"/>
    <cellStyle name="Normal 245 5 3" xfId="21043" xr:uid="{00000000-0005-0000-0000-000033520000}"/>
    <cellStyle name="Normal 245 6" xfId="21044" xr:uid="{00000000-0005-0000-0000-000034520000}"/>
    <cellStyle name="Normal 245 6 2" xfId="21045" xr:uid="{00000000-0005-0000-0000-000035520000}"/>
    <cellStyle name="Normal 245 6 2 2" xfId="21046" xr:uid="{00000000-0005-0000-0000-000036520000}"/>
    <cellStyle name="Normal 245 6 3" xfId="21047" xr:uid="{00000000-0005-0000-0000-000037520000}"/>
    <cellStyle name="Normal 245 7" xfId="21048" xr:uid="{00000000-0005-0000-0000-000038520000}"/>
    <cellStyle name="Normal 245 7 2" xfId="21049" xr:uid="{00000000-0005-0000-0000-000039520000}"/>
    <cellStyle name="Normal 245 7 2 2" xfId="21050" xr:uid="{00000000-0005-0000-0000-00003A520000}"/>
    <cellStyle name="Normal 245 7 3" xfId="21051" xr:uid="{00000000-0005-0000-0000-00003B520000}"/>
    <cellStyle name="Normal 245 8" xfId="21052" xr:uid="{00000000-0005-0000-0000-00003C520000}"/>
    <cellStyle name="Normal 246" xfId="21053" xr:uid="{00000000-0005-0000-0000-00003D520000}"/>
    <cellStyle name="Normal 246 2" xfId="21054" xr:uid="{00000000-0005-0000-0000-00003E520000}"/>
    <cellStyle name="Normal 246 2 2" xfId="21055" xr:uid="{00000000-0005-0000-0000-00003F520000}"/>
    <cellStyle name="Normal 246 2 2 2" xfId="21056" xr:uid="{00000000-0005-0000-0000-000040520000}"/>
    <cellStyle name="Normal 246 2 2 2 2" xfId="21057" xr:uid="{00000000-0005-0000-0000-000041520000}"/>
    <cellStyle name="Normal 246 2 2 3" xfId="21058" xr:uid="{00000000-0005-0000-0000-000042520000}"/>
    <cellStyle name="Normal 246 2 2 3 2" xfId="21059" xr:uid="{00000000-0005-0000-0000-000043520000}"/>
    <cellStyle name="Normal 246 2 2 3 2 2" xfId="21060" xr:uid="{00000000-0005-0000-0000-000044520000}"/>
    <cellStyle name="Normal 246 2 2 3 3" xfId="21061" xr:uid="{00000000-0005-0000-0000-000045520000}"/>
    <cellStyle name="Normal 246 2 2 4" xfId="21062" xr:uid="{00000000-0005-0000-0000-000046520000}"/>
    <cellStyle name="Normal 246 2 2 4 2" xfId="21063" xr:uid="{00000000-0005-0000-0000-000047520000}"/>
    <cellStyle name="Normal 246 2 2 4 2 2" xfId="21064" xr:uid="{00000000-0005-0000-0000-000048520000}"/>
    <cellStyle name="Normal 246 2 2 4 3" xfId="21065" xr:uid="{00000000-0005-0000-0000-000049520000}"/>
    <cellStyle name="Normal 246 2 2 5" xfId="21066" xr:uid="{00000000-0005-0000-0000-00004A520000}"/>
    <cellStyle name="Normal 246 2 3" xfId="21067" xr:uid="{00000000-0005-0000-0000-00004B520000}"/>
    <cellStyle name="Normal 246 2 3 2" xfId="21068" xr:uid="{00000000-0005-0000-0000-00004C520000}"/>
    <cellStyle name="Normal 246 2 3 2 2" xfId="21069" xr:uid="{00000000-0005-0000-0000-00004D520000}"/>
    <cellStyle name="Normal 246 2 3 2 2 2" xfId="21070" xr:uid="{00000000-0005-0000-0000-00004E520000}"/>
    <cellStyle name="Normal 246 2 3 2 3" xfId="21071" xr:uid="{00000000-0005-0000-0000-00004F520000}"/>
    <cellStyle name="Normal 246 2 3 2 3 2" xfId="21072" xr:uid="{00000000-0005-0000-0000-000050520000}"/>
    <cellStyle name="Normal 246 2 3 2 3 2 2" xfId="21073" xr:uid="{00000000-0005-0000-0000-000051520000}"/>
    <cellStyle name="Normal 246 2 3 2 3 3" xfId="21074" xr:uid="{00000000-0005-0000-0000-000052520000}"/>
    <cellStyle name="Normal 246 2 3 2 4" xfId="21075" xr:uid="{00000000-0005-0000-0000-000053520000}"/>
    <cellStyle name="Normal 246 2 3 3" xfId="21076" xr:uid="{00000000-0005-0000-0000-000054520000}"/>
    <cellStyle name="Normal 246 2 3 3 2" xfId="21077" xr:uid="{00000000-0005-0000-0000-000055520000}"/>
    <cellStyle name="Normal 246 2 3 3 2 2" xfId="21078" xr:uid="{00000000-0005-0000-0000-000056520000}"/>
    <cellStyle name="Normal 246 2 3 3 3" xfId="21079" xr:uid="{00000000-0005-0000-0000-000057520000}"/>
    <cellStyle name="Normal 246 2 3 4" xfId="21080" xr:uid="{00000000-0005-0000-0000-000058520000}"/>
    <cellStyle name="Normal 246 2 3 4 2" xfId="21081" xr:uid="{00000000-0005-0000-0000-000059520000}"/>
    <cellStyle name="Normal 246 2 3 4 2 2" xfId="21082" xr:uid="{00000000-0005-0000-0000-00005A520000}"/>
    <cellStyle name="Normal 246 2 3 4 3" xfId="21083" xr:uid="{00000000-0005-0000-0000-00005B520000}"/>
    <cellStyle name="Normal 246 2 3 5" xfId="21084" xr:uid="{00000000-0005-0000-0000-00005C520000}"/>
    <cellStyle name="Normal 246 2 3 5 2" xfId="21085" xr:uid="{00000000-0005-0000-0000-00005D520000}"/>
    <cellStyle name="Normal 246 2 3 5 2 2" xfId="21086" xr:uid="{00000000-0005-0000-0000-00005E520000}"/>
    <cellStyle name="Normal 246 2 3 5 3" xfId="21087" xr:uid="{00000000-0005-0000-0000-00005F520000}"/>
    <cellStyle name="Normal 246 2 3 6" xfId="21088" xr:uid="{00000000-0005-0000-0000-000060520000}"/>
    <cellStyle name="Normal 246 2 4" xfId="21089" xr:uid="{00000000-0005-0000-0000-000061520000}"/>
    <cellStyle name="Normal 246 2 4 2" xfId="21090" xr:uid="{00000000-0005-0000-0000-000062520000}"/>
    <cellStyle name="Normal 246 2 4 2 2" xfId="21091" xr:uid="{00000000-0005-0000-0000-000063520000}"/>
    <cellStyle name="Normal 246 2 4 3" xfId="21092" xr:uid="{00000000-0005-0000-0000-000064520000}"/>
    <cellStyle name="Normal 246 2 5" xfId="21093" xr:uid="{00000000-0005-0000-0000-000065520000}"/>
    <cellStyle name="Normal 246 2 5 2" xfId="21094" xr:uid="{00000000-0005-0000-0000-000066520000}"/>
    <cellStyle name="Normal 246 2 5 2 2" xfId="21095" xr:uid="{00000000-0005-0000-0000-000067520000}"/>
    <cellStyle name="Normal 246 2 5 3" xfId="21096" xr:uid="{00000000-0005-0000-0000-000068520000}"/>
    <cellStyle name="Normal 246 2 6" xfId="21097" xr:uid="{00000000-0005-0000-0000-000069520000}"/>
    <cellStyle name="Normal 246 2 6 2" xfId="21098" xr:uid="{00000000-0005-0000-0000-00006A520000}"/>
    <cellStyle name="Normal 246 2 6 2 2" xfId="21099" xr:uid="{00000000-0005-0000-0000-00006B520000}"/>
    <cellStyle name="Normal 246 2 6 3" xfId="21100" xr:uid="{00000000-0005-0000-0000-00006C520000}"/>
    <cellStyle name="Normal 246 2 7" xfId="21101" xr:uid="{00000000-0005-0000-0000-00006D520000}"/>
    <cellStyle name="Normal 246 3" xfId="21102" xr:uid="{00000000-0005-0000-0000-00006E520000}"/>
    <cellStyle name="Normal 246 3 2" xfId="21103" xr:uid="{00000000-0005-0000-0000-00006F520000}"/>
    <cellStyle name="Normal 246 3 2 2" xfId="21104" xr:uid="{00000000-0005-0000-0000-000070520000}"/>
    <cellStyle name="Normal 246 3 3" xfId="21105" xr:uid="{00000000-0005-0000-0000-000071520000}"/>
    <cellStyle name="Normal 246 3 3 2" xfId="21106" xr:uid="{00000000-0005-0000-0000-000072520000}"/>
    <cellStyle name="Normal 246 3 3 2 2" xfId="21107" xr:uid="{00000000-0005-0000-0000-000073520000}"/>
    <cellStyle name="Normal 246 3 3 3" xfId="21108" xr:uid="{00000000-0005-0000-0000-000074520000}"/>
    <cellStyle name="Normal 246 3 4" xfId="21109" xr:uid="{00000000-0005-0000-0000-000075520000}"/>
    <cellStyle name="Normal 246 3 4 2" xfId="21110" xr:uid="{00000000-0005-0000-0000-000076520000}"/>
    <cellStyle name="Normal 246 3 4 2 2" xfId="21111" xr:uid="{00000000-0005-0000-0000-000077520000}"/>
    <cellStyle name="Normal 246 3 4 3" xfId="21112" xr:uid="{00000000-0005-0000-0000-000078520000}"/>
    <cellStyle name="Normal 246 3 5" xfId="21113" xr:uid="{00000000-0005-0000-0000-000079520000}"/>
    <cellStyle name="Normal 246 4" xfId="21114" xr:uid="{00000000-0005-0000-0000-00007A520000}"/>
    <cellStyle name="Normal 246 4 2" xfId="21115" xr:uid="{00000000-0005-0000-0000-00007B520000}"/>
    <cellStyle name="Normal 246 4 2 2" xfId="21116" xr:uid="{00000000-0005-0000-0000-00007C520000}"/>
    <cellStyle name="Normal 246 4 2 2 2" xfId="21117" xr:uid="{00000000-0005-0000-0000-00007D520000}"/>
    <cellStyle name="Normal 246 4 2 3" xfId="21118" xr:uid="{00000000-0005-0000-0000-00007E520000}"/>
    <cellStyle name="Normal 246 4 2 3 2" xfId="21119" xr:uid="{00000000-0005-0000-0000-00007F520000}"/>
    <cellStyle name="Normal 246 4 2 3 2 2" xfId="21120" xr:uid="{00000000-0005-0000-0000-000080520000}"/>
    <cellStyle name="Normal 246 4 2 3 3" xfId="21121" xr:uid="{00000000-0005-0000-0000-000081520000}"/>
    <cellStyle name="Normal 246 4 2 4" xfId="21122" xr:uid="{00000000-0005-0000-0000-000082520000}"/>
    <cellStyle name="Normal 246 4 3" xfId="21123" xr:uid="{00000000-0005-0000-0000-000083520000}"/>
    <cellStyle name="Normal 246 4 3 2" xfId="21124" xr:uid="{00000000-0005-0000-0000-000084520000}"/>
    <cellStyle name="Normal 246 4 3 2 2" xfId="21125" xr:uid="{00000000-0005-0000-0000-000085520000}"/>
    <cellStyle name="Normal 246 4 3 3" xfId="21126" xr:uid="{00000000-0005-0000-0000-000086520000}"/>
    <cellStyle name="Normal 246 4 4" xfId="21127" xr:uid="{00000000-0005-0000-0000-000087520000}"/>
    <cellStyle name="Normal 246 4 4 2" xfId="21128" xr:uid="{00000000-0005-0000-0000-000088520000}"/>
    <cellStyle name="Normal 246 4 4 2 2" xfId="21129" xr:uid="{00000000-0005-0000-0000-000089520000}"/>
    <cellStyle name="Normal 246 4 4 3" xfId="21130" xr:uid="{00000000-0005-0000-0000-00008A520000}"/>
    <cellStyle name="Normal 246 4 5" xfId="21131" xr:uid="{00000000-0005-0000-0000-00008B520000}"/>
    <cellStyle name="Normal 246 4 5 2" xfId="21132" xr:uid="{00000000-0005-0000-0000-00008C520000}"/>
    <cellStyle name="Normal 246 4 5 2 2" xfId="21133" xr:uid="{00000000-0005-0000-0000-00008D520000}"/>
    <cellStyle name="Normal 246 4 5 3" xfId="21134" xr:uid="{00000000-0005-0000-0000-00008E520000}"/>
    <cellStyle name="Normal 246 4 6" xfId="21135" xr:uid="{00000000-0005-0000-0000-00008F520000}"/>
    <cellStyle name="Normal 246 5" xfId="21136" xr:uid="{00000000-0005-0000-0000-000090520000}"/>
    <cellStyle name="Normal 246 5 2" xfId="21137" xr:uid="{00000000-0005-0000-0000-000091520000}"/>
    <cellStyle name="Normal 246 5 2 2" xfId="21138" xr:uid="{00000000-0005-0000-0000-000092520000}"/>
    <cellStyle name="Normal 246 5 3" xfId="21139" xr:uid="{00000000-0005-0000-0000-000093520000}"/>
    <cellStyle name="Normal 246 6" xfId="21140" xr:uid="{00000000-0005-0000-0000-000094520000}"/>
    <cellStyle name="Normal 246 6 2" xfId="21141" xr:uid="{00000000-0005-0000-0000-000095520000}"/>
    <cellStyle name="Normal 246 6 2 2" xfId="21142" xr:uid="{00000000-0005-0000-0000-000096520000}"/>
    <cellStyle name="Normal 246 6 3" xfId="21143" xr:uid="{00000000-0005-0000-0000-000097520000}"/>
    <cellStyle name="Normal 246 7" xfId="21144" xr:uid="{00000000-0005-0000-0000-000098520000}"/>
    <cellStyle name="Normal 246 7 2" xfId="21145" xr:uid="{00000000-0005-0000-0000-000099520000}"/>
    <cellStyle name="Normal 246 7 2 2" xfId="21146" xr:uid="{00000000-0005-0000-0000-00009A520000}"/>
    <cellStyle name="Normal 246 7 3" xfId="21147" xr:uid="{00000000-0005-0000-0000-00009B520000}"/>
    <cellStyle name="Normal 246 8" xfId="21148" xr:uid="{00000000-0005-0000-0000-00009C520000}"/>
    <cellStyle name="Normal 247" xfId="21149" xr:uid="{00000000-0005-0000-0000-00009D520000}"/>
    <cellStyle name="Normal 247 2" xfId="21150" xr:uid="{00000000-0005-0000-0000-00009E520000}"/>
    <cellStyle name="Normal 247 2 2" xfId="21151" xr:uid="{00000000-0005-0000-0000-00009F520000}"/>
    <cellStyle name="Normal 247 2 2 2" xfId="21152" xr:uid="{00000000-0005-0000-0000-0000A0520000}"/>
    <cellStyle name="Normal 247 2 2 2 2" xfId="21153" xr:uid="{00000000-0005-0000-0000-0000A1520000}"/>
    <cellStyle name="Normal 247 2 2 3" xfId="21154" xr:uid="{00000000-0005-0000-0000-0000A2520000}"/>
    <cellStyle name="Normal 247 2 2 3 2" xfId="21155" xr:uid="{00000000-0005-0000-0000-0000A3520000}"/>
    <cellStyle name="Normal 247 2 2 3 2 2" xfId="21156" xr:uid="{00000000-0005-0000-0000-0000A4520000}"/>
    <cellStyle name="Normal 247 2 2 3 3" xfId="21157" xr:uid="{00000000-0005-0000-0000-0000A5520000}"/>
    <cellStyle name="Normal 247 2 2 4" xfId="21158" xr:uid="{00000000-0005-0000-0000-0000A6520000}"/>
    <cellStyle name="Normal 247 2 2 4 2" xfId="21159" xr:uid="{00000000-0005-0000-0000-0000A7520000}"/>
    <cellStyle name="Normal 247 2 2 4 2 2" xfId="21160" xr:uid="{00000000-0005-0000-0000-0000A8520000}"/>
    <cellStyle name="Normal 247 2 2 4 3" xfId="21161" xr:uid="{00000000-0005-0000-0000-0000A9520000}"/>
    <cellStyle name="Normal 247 2 2 5" xfId="21162" xr:uid="{00000000-0005-0000-0000-0000AA520000}"/>
    <cellStyle name="Normal 247 2 3" xfId="21163" xr:uid="{00000000-0005-0000-0000-0000AB520000}"/>
    <cellStyle name="Normal 247 2 3 2" xfId="21164" xr:uid="{00000000-0005-0000-0000-0000AC520000}"/>
    <cellStyle name="Normal 247 2 3 2 2" xfId="21165" xr:uid="{00000000-0005-0000-0000-0000AD520000}"/>
    <cellStyle name="Normal 247 2 3 2 2 2" xfId="21166" xr:uid="{00000000-0005-0000-0000-0000AE520000}"/>
    <cellStyle name="Normal 247 2 3 2 3" xfId="21167" xr:uid="{00000000-0005-0000-0000-0000AF520000}"/>
    <cellStyle name="Normal 247 2 3 2 3 2" xfId="21168" xr:uid="{00000000-0005-0000-0000-0000B0520000}"/>
    <cellStyle name="Normal 247 2 3 2 3 2 2" xfId="21169" xr:uid="{00000000-0005-0000-0000-0000B1520000}"/>
    <cellStyle name="Normal 247 2 3 2 3 3" xfId="21170" xr:uid="{00000000-0005-0000-0000-0000B2520000}"/>
    <cellStyle name="Normal 247 2 3 2 4" xfId="21171" xr:uid="{00000000-0005-0000-0000-0000B3520000}"/>
    <cellStyle name="Normal 247 2 3 3" xfId="21172" xr:uid="{00000000-0005-0000-0000-0000B4520000}"/>
    <cellStyle name="Normal 247 2 3 3 2" xfId="21173" xr:uid="{00000000-0005-0000-0000-0000B5520000}"/>
    <cellStyle name="Normal 247 2 3 3 2 2" xfId="21174" xr:uid="{00000000-0005-0000-0000-0000B6520000}"/>
    <cellStyle name="Normal 247 2 3 3 3" xfId="21175" xr:uid="{00000000-0005-0000-0000-0000B7520000}"/>
    <cellStyle name="Normal 247 2 3 4" xfId="21176" xr:uid="{00000000-0005-0000-0000-0000B8520000}"/>
    <cellStyle name="Normal 247 2 3 4 2" xfId="21177" xr:uid="{00000000-0005-0000-0000-0000B9520000}"/>
    <cellStyle name="Normal 247 2 3 4 2 2" xfId="21178" xr:uid="{00000000-0005-0000-0000-0000BA520000}"/>
    <cellStyle name="Normal 247 2 3 4 3" xfId="21179" xr:uid="{00000000-0005-0000-0000-0000BB520000}"/>
    <cellStyle name="Normal 247 2 3 5" xfId="21180" xr:uid="{00000000-0005-0000-0000-0000BC520000}"/>
    <cellStyle name="Normal 247 2 3 5 2" xfId="21181" xr:uid="{00000000-0005-0000-0000-0000BD520000}"/>
    <cellStyle name="Normal 247 2 3 5 2 2" xfId="21182" xr:uid="{00000000-0005-0000-0000-0000BE520000}"/>
    <cellStyle name="Normal 247 2 3 5 3" xfId="21183" xr:uid="{00000000-0005-0000-0000-0000BF520000}"/>
    <cellStyle name="Normal 247 2 3 6" xfId="21184" xr:uid="{00000000-0005-0000-0000-0000C0520000}"/>
    <cellStyle name="Normal 247 2 4" xfId="21185" xr:uid="{00000000-0005-0000-0000-0000C1520000}"/>
    <cellStyle name="Normal 247 2 4 2" xfId="21186" xr:uid="{00000000-0005-0000-0000-0000C2520000}"/>
    <cellStyle name="Normal 247 2 4 2 2" xfId="21187" xr:uid="{00000000-0005-0000-0000-0000C3520000}"/>
    <cellStyle name="Normal 247 2 4 3" xfId="21188" xr:uid="{00000000-0005-0000-0000-0000C4520000}"/>
    <cellStyle name="Normal 247 2 5" xfId="21189" xr:uid="{00000000-0005-0000-0000-0000C5520000}"/>
    <cellStyle name="Normal 247 2 5 2" xfId="21190" xr:uid="{00000000-0005-0000-0000-0000C6520000}"/>
    <cellStyle name="Normal 247 2 5 2 2" xfId="21191" xr:uid="{00000000-0005-0000-0000-0000C7520000}"/>
    <cellStyle name="Normal 247 2 5 3" xfId="21192" xr:uid="{00000000-0005-0000-0000-0000C8520000}"/>
    <cellStyle name="Normal 247 2 6" xfId="21193" xr:uid="{00000000-0005-0000-0000-0000C9520000}"/>
    <cellStyle name="Normal 247 2 6 2" xfId="21194" xr:uid="{00000000-0005-0000-0000-0000CA520000}"/>
    <cellStyle name="Normal 247 2 6 2 2" xfId="21195" xr:uid="{00000000-0005-0000-0000-0000CB520000}"/>
    <cellStyle name="Normal 247 2 6 3" xfId="21196" xr:uid="{00000000-0005-0000-0000-0000CC520000}"/>
    <cellStyle name="Normal 247 2 7" xfId="21197" xr:uid="{00000000-0005-0000-0000-0000CD520000}"/>
    <cellStyle name="Normal 247 3" xfId="21198" xr:uid="{00000000-0005-0000-0000-0000CE520000}"/>
    <cellStyle name="Normal 247 3 2" xfId="21199" xr:uid="{00000000-0005-0000-0000-0000CF520000}"/>
    <cellStyle name="Normal 247 3 2 2" xfId="21200" xr:uid="{00000000-0005-0000-0000-0000D0520000}"/>
    <cellStyle name="Normal 247 3 3" xfId="21201" xr:uid="{00000000-0005-0000-0000-0000D1520000}"/>
    <cellStyle name="Normal 247 3 3 2" xfId="21202" xr:uid="{00000000-0005-0000-0000-0000D2520000}"/>
    <cellStyle name="Normal 247 3 3 2 2" xfId="21203" xr:uid="{00000000-0005-0000-0000-0000D3520000}"/>
    <cellStyle name="Normal 247 3 3 3" xfId="21204" xr:uid="{00000000-0005-0000-0000-0000D4520000}"/>
    <cellStyle name="Normal 247 3 4" xfId="21205" xr:uid="{00000000-0005-0000-0000-0000D5520000}"/>
    <cellStyle name="Normal 247 3 4 2" xfId="21206" xr:uid="{00000000-0005-0000-0000-0000D6520000}"/>
    <cellStyle name="Normal 247 3 4 2 2" xfId="21207" xr:uid="{00000000-0005-0000-0000-0000D7520000}"/>
    <cellStyle name="Normal 247 3 4 3" xfId="21208" xr:uid="{00000000-0005-0000-0000-0000D8520000}"/>
    <cellStyle name="Normal 247 3 5" xfId="21209" xr:uid="{00000000-0005-0000-0000-0000D9520000}"/>
    <cellStyle name="Normal 247 4" xfId="21210" xr:uid="{00000000-0005-0000-0000-0000DA520000}"/>
    <cellStyle name="Normal 247 4 2" xfId="21211" xr:uid="{00000000-0005-0000-0000-0000DB520000}"/>
    <cellStyle name="Normal 247 4 2 2" xfId="21212" xr:uid="{00000000-0005-0000-0000-0000DC520000}"/>
    <cellStyle name="Normal 247 4 2 2 2" xfId="21213" xr:uid="{00000000-0005-0000-0000-0000DD520000}"/>
    <cellStyle name="Normal 247 4 2 3" xfId="21214" xr:uid="{00000000-0005-0000-0000-0000DE520000}"/>
    <cellStyle name="Normal 247 4 2 3 2" xfId="21215" xr:uid="{00000000-0005-0000-0000-0000DF520000}"/>
    <cellStyle name="Normal 247 4 2 3 2 2" xfId="21216" xr:uid="{00000000-0005-0000-0000-0000E0520000}"/>
    <cellStyle name="Normal 247 4 2 3 3" xfId="21217" xr:uid="{00000000-0005-0000-0000-0000E1520000}"/>
    <cellStyle name="Normal 247 4 2 4" xfId="21218" xr:uid="{00000000-0005-0000-0000-0000E2520000}"/>
    <cellStyle name="Normal 247 4 3" xfId="21219" xr:uid="{00000000-0005-0000-0000-0000E3520000}"/>
    <cellStyle name="Normal 247 4 3 2" xfId="21220" xr:uid="{00000000-0005-0000-0000-0000E4520000}"/>
    <cellStyle name="Normal 247 4 3 2 2" xfId="21221" xr:uid="{00000000-0005-0000-0000-0000E5520000}"/>
    <cellStyle name="Normal 247 4 3 3" xfId="21222" xr:uid="{00000000-0005-0000-0000-0000E6520000}"/>
    <cellStyle name="Normal 247 4 4" xfId="21223" xr:uid="{00000000-0005-0000-0000-0000E7520000}"/>
    <cellStyle name="Normal 247 4 4 2" xfId="21224" xr:uid="{00000000-0005-0000-0000-0000E8520000}"/>
    <cellStyle name="Normal 247 4 4 2 2" xfId="21225" xr:uid="{00000000-0005-0000-0000-0000E9520000}"/>
    <cellStyle name="Normal 247 4 4 3" xfId="21226" xr:uid="{00000000-0005-0000-0000-0000EA520000}"/>
    <cellStyle name="Normal 247 4 5" xfId="21227" xr:uid="{00000000-0005-0000-0000-0000EB520000}"/>
    <cellStyle name="Normal 247 4 5 2" xfId="21228" xr:uid="{00000000-0005-0000-0000-0000EC520000}"/>
    <cellStyle name="Normal 247 4 5 2 2" xfId="21229" xr:uid="{00000000-0005-0000-0000-0000ED520000}"/>
    <cellStyle name="Normal 247 4 5 3" xfId="21230" xr:uid="{00000000-0005-0000-0000-0000EE520000}"/>
    <cellStyle name="Normal 247 4 6" xfId="21231" xr:uid="{00000000-0005-0000-0000-0000EF520000}"/>
    <cellStyle name="Normal 247 5" xfId="21232" xr:uid="{00000000-0005-0000-0000-0000F0520000}"/>
    <cellStyle name="Normal 247 5 2" xfId="21233" xr:uid="{00000000-0005-0000-0000-0000F1520000}"/>
    <cellStyle name="Normal 247 5 2 2" xfId="21234" xr:uid="{00000000-0005-0000-0000-0000F2520000}"/>
    <cellStyle name="Normal 247 5 3" xfId="21235" xr:uid="{00000000-0005-0000-0000-0000F3520000}"/>
    <cellStyle name="Normal 247 6" xfId="21236" xr:uid="{00000000-0005-0000-0000-0000F4520000}"/>
    <cellStyle name="Normal 247 6 2" xfId="21237" xr:uid="{00000000-0005-0000-0000-0000F5520000}"/>
    <cellStyle name="Normal 247 6 2 2" xfId="21238" xr:uid="{00000000-0005-0000-0000-0000F6520000}"/>
    <cellStyle name="Normal 247 6 3" xfId="21239" xr:uid="{00000000-0005-0000-0000-0000F7520000}"/>
    <cellStyle name="Normal 247 7" xfId="21240" xr:uid="{00000000-0005-0000-0000-0000F8520000}"/>
    <cellStyle name="Normal 247 7 2" xfId="21241" xr:uid="{00000000-0005-0000-0000-0000F9520000}"/>
    <cellStyle name="Normal 247 7 2 2" xfId="21242" xr:uid="{00000000-0005-0000-0000-0000FA520000}"/>
    <cellStyle name="Normal 247 7 3" xfId="21243" xr:uid="{00000000-0005-0000-0000-0000FB520000}"/>
    <cellStyle name="Normal 247 8" xfId="21244" xr:uid="{00000000-0005-0000-0000-0000FC520000}"/>
    <cellStyle name="Normal 248" xfId="21245" xr:uid="{00000000-0005-0000-0000-0000FD520000}"/>
    <cellStyle name="Normal 248 2" xfId="21246" xr:uid="{00000000-0005-0000-0000-0000FE520000}"/>
    <cellStyle name="Normal 248 2 2" xfId="21247" xr:uid="{00000000-0005-0000-0000-0000FF520000}"/>
    <cellStyle name="Normal 248 2 2 2" xfId="21248" xr:uid="{00000000-0005-0000-0000-000000530000}"/>
    <cellStyle name="Normal 248 2 2 2 2" xfId="21249" xr:uid="{00000000-0005-0000-0000-000001530000}"/>
    <cellStyle name="Normal 248 2 2 3" xfId="21250" xr:uid="{00000000-0005-0000-0000-000002530000}"/>
    <cellStyle name="Normal 248 2 2 3 2" xfId="21251" xr:uid="{00000000-0005-0000-0000-000003530000}"/>
    <cellStyle name="Normal 248 2 2 3 2 2" xfId="21252" xr:uid="{00000000-0005-0000-0000-000004530000}"/>
    <cellStyle name="Normal 248 2 2 3 3" xfId="21253" xr:uid="{00000000-0005-0000-0000-000005530000}"/>
    <cellStyle name="Normal 248 2 2 4" xfId="21254" xr:uid="{00000000-0005-0000-0000-000006530000}"/>
    <cellStyle name="Normal 248 2 2 4 2" xfId="21255" xr:uid="{00000000-0005-0000-0000-000007530000}"/>
    <cellStyle name="Normal 248 2 2 4 2 2" xfId="21256" xr:uid="{00000000-0005-0000-0000-000008530000}"/>
    <cellStyle name="Normal 248 2 2 4 3" xfId="21257" xr:uid="{00000000-0005-0000-0000-000009530000}"/>
    <cellStyle name="Normal 248 2 2 5" xfId="21258" xr:uid="{00000000-0005-0000-0000-00000A530000}"/>
    <cellStyle name="Normal 248 2 3" xfId="21259" xr:uid="{00000000-0005-0000-0000-00000B530000}"/>
    <cellStyle name="Normal 248 2 3 2" xfId="21260" xr:uid="{00000000-0005-0000-0000-00000C530000}"/>
    <cellStyle name="Normal 248 2 3 2 2" xfId="21261" xr:uid="{00000000-0005-0000-0000-00000D530000}"/>
    <cellStyle name="Normal 248 2 3 2 2 2" xfId="21262" xr:uid="{00000000-0005-0000-0000-00000E530000}"/>
    <cellStyle name="Normal 248 2 3 2 3" xfId="21263" xr:uid="{00000000-0005-0000-0000-00000F530000}"/>
    <cellStyle name="Normal 248 2 3 2 3 2" xfId="21264" xr:uid="{00000000-0005-0000-0000-000010530000}"/>
    <cellStyle name="Normal 248 2 3 2 3 2 2" xfId="21265" xr:uid="{00000000-0005-0000-0000-000011530000}"/>
    <cellStyle name="Normal 248 2 3 2 3 3" xfId="21266" xr:uid="{00000000-0005-0000-0000-000012530000}"/>
    <cellStyle name="Normal 248 2 3 2 4" xfId="21267" xr:uid="{00000000-0005-0000-0000-000013530000}"/>
    <cellStyle name="Normal 248 2 3 3" xfId="21268" xr:uid="{00000000-0005-0000-0000-000014530000}"/>
    <cellStyle name="Normal 248 2 3 3 2" xfId="21269" xr:uid="{00000000-0005-0000-0000-000015530000}"/>
    <cellStyle name="Normal 248 2 3 3 2 2" xfId="21270" xr:uid="{00000000-0005-0000-0000-000016530000}"/>
    <cellStyle name="Normal 248 2 3 3 3" xfId="21271" xr:uid="{00000000-0005-0000-0000-000017530000}"/>
    <cellStyle name="Normal 248 2 3 4" xfId="21272" xr:uid="{00000000-0005-0000-0000-000018530000}"/>
    <cellStyle name="Normal 248 2 3 4 2" xfId="21273" xr:uid="{00000000-0005-0000-0000-000019530000}"/>
    <cellStyle name="Normal 248 2 3 4 2 2" xfId="21274" xr:uid="{00000000-0005-0000-0000-00001A530000}"/>
    <cellStyle name="Normal 248 2 3 4 3" xfId="21275" xr:uid="{00000000-0005-0000-0000-00001B530000}"/>
    <cellStyle name="Normal 248 2 3 5" xfId="21276" xr:uid="{00000000-0005-0000-0000-00001C530000}"/>
    <cellStyle name="Normal 248 2 3 5 2" xfId="21277" xr:uid="{00000000-0005-0000-0000-00001D530000}"/>
    <cellStyle name="Normal 248 2 3 5 2 2" xfId="21278" xr:uid="{00000000-0005-0000-0000-00001E530000}"/>
    <cellStyle name="Normal 248 2 3 5 3" xfId="21279" xr:uid="{00000000-0005-0000-0000-00001F530000}"/>
    <cellStyle name="Normal 248 2 3 6" xfId="21280" xr:uid="{00000000-0005-0000-0000-000020530000}"/>
    <cellStyle name="Normal 248 2 4" xfId="21281" xr:uid="{00000000-0005-0000-0000-000021530000}"/>
    <cellStyle name="Normal 248 2 4 2" xfId="21282" xr:uid="{00000000-0005-0000-0000-000022530000}"/>
    <cellStyle name="Normal 248 2 4 2 2" xfId="21283" xr:uid="{00000000-0005-0000-0000-000023530000}"/>
    <cellStyle name="Normal 248 2 4 3" xfId="21284" xr:uid="{00000000-0005-0000-0000-000024530000}"/>
    <cellStyle name="Normal 248 2 5" xfId="21285" xr:uid="{00000000-0005-0000-0000-000025530000}"/>
    <cellStyle name="Normal 248 2 5 2" xfId="21286" xr:uid="{00000000-0005-0000-0000-000026530000}"/>
    <cellStyle name="Normal 248 2 5 2 2" xfId="21287" xr:uid="{00000000-0005-0000-0000-000027530000}"/>
    <cellStyle name="Normal 248 2 5 3" xfId="21288" xr:uid="{00000000-0005-0000-0000-000028530000}"/>
    <cellStyle name="Normal 248 2 6" xfId="21289" xr:uid="{00000000-0005-0000-0000-000029530000}"/>
    <cellStyle name="Normal 248 2 6 2" xfId="21290" xr:uid="{00000000-0005-0000-0000-00002A530000}"/>
    <cellStyle name="Normal 248 2 6 2 2" xfId="21291" xr:uid="{00000000-0005-0000-0000-00002B530000}"/>
    <cellStyle name="Normal 248 2 6 3" xfId="21292" xr:uid="{00000000-0005-0000-0000-00002C530000}"/>
    <cellStyle name="Normal 248 2 7" xfId="21293" xr:uid="{00000000-0005-0000-0000-00002D530000}"/>
    <cellStyle name="Normal 248 3" xfId="21294" xr:uid="{00000000-0005-0000-0000-00002E530000}"/>
    <cellStyle name="Normal 248 3 2" xfId="21295" xr:uid="{00000000-0005-0000-0000-00002F530000}"/>
    <cellStyle name="Normal 248 3 2 2" xfId="21296" xr:uid="{00000000-0005-0000-0000-000030530000}"/>
    <cellStyle name="Normal 248 3 3" xfId="21297" xr:uid="{00000000-0005-0000-0000-000031530000}"/>
    <cellStyle name="Normal 248 3 3 2" xfId="21298" xr:uid="{00000000-0005-0000-0000-000032530000}"/>
    <cellStyle name="Normal 248 3 3 2 2" xfId="21299" xr:uid="{00000000-0005-0000-0000-000033530000}"/>
    <cellStyle name="Normal 248 3 3 3" xfId="21300" xr:uid="{00000000-0005-0000-0000-000034530000}"/>
    <cellStyle name="Normal 248 3 4" xfId="21301" xr:uid="{00000000-0005-0000-0000-000035530000}"/>
    <cellStyle name="Normal 248 3 4 2" xfId="21302" xr:uid="{00000000-0005-0000-0000-000036530000}"/>
    <cellStyle name="Normal 248 3 4 2 2" xfId="21303" xr:uid="{00000000-0005-0000-0000-000037530000}"/>
    <cellStyle name="Normal 248 3 4 3" xfId="21304" xr:uid="{00000000-0005-0000-0000-000038530000}"/>
    <cellStyle name="Normal 248 3 5" xfId="21305" xr:uid="{00000000-0005-0000-0000-000039530000}"/>
    <cellStyle name="Normal 248 4" xfId="21306" xr:uid="{00000000-0005-0000-0000-00003A530000}"/>
    <cellStyle name="Normal 248 4 2" xfId="21307" xr:uid="{00000000-0005-0000-0000-00003B530000}"/>
    <cellStyle name="Normal 248 4 2 2" xfId="21308" xr:uid="{00000000-0005-0000-0000-00003C530000}"/>
    <cellStyle name="Normal 248 4 2 2 2" xfId="21309" xr:uid="{00000000-0005-0000-0000-00003D530000}"/>
    <cellStyle name="Normal 248 4 2 3" xfId="21310" xr:uid="{00000000-0005-0000-0000-00003E530000}"/>
    <cellStyle name="Normal 248 4 2 3 2" xfId="21311" xr:uid="{00000000-0005-0000-0000-00003F530000}"/>
    <cellStyle name="Normal 248 4 2 3 2 2" xfId="21312" xr:uid="{00000000-0005-0000-0000-000040530000}"/>
    <cellStyle name="Normal 248 4 2 3 3" xfId="21313" xr:uid="{00000000-0005-0000-0000-000041530000}"/>
    <cellStyle name="Normal 248 4 2 4" xfId="21314" xr:uid="{00000000-0005-0000-0000-000042530000}"/>
    <cellStyle name="Normal 248 4 3" xfId="21315" xr:uid="{00000000-0005-0000-0000-000043530000}"/>
    <cellStyle name="Normal 248 4 3 2" xfId="21316" xr:uid="{00000000-0005-0000-0000-000044530000}"/>
    <cellStyle name="Normal 248 4 3 2 2" xfId="21317" xr:uid="{00000000-0005-0000-0000-000045530000}"/>
    <cellStyle name="Normal 248 4 3 3" xfId="21318" xr:uid="{00000000-0005-0000-0000-000046530000}"/>
    <cellStyle name="Normal 248 4 4" xfId="21319" xr:uid="{00000000-0005-0000-0000-000047530000}"/>
    <cellStyle name="Normal 248 4 4 2" xfId="21320" xr:uid="{00000000-0005-0000-0000-000048530000}"/>
    <cellStyle name="Normal 248 4 4 2 2" xfId="21321" xr:uid="{00000000-0005-0000-0000-000049530000}"/>
    <cellStyle name="Normal 248 4 4 3" xfId="21322" xr:uid="{00000000-0005-0000-0000-00004A530000}"/>
    <cellStyle name="Normal 248 4 5" xfId="21323" xr:uid="{00000000-0005-0000-0000-00004B530000}"/>
    <cellStyle name="Normal 248 4 5 2" xfId="21324" xr:uid="{00000000-0005-0000-0000-00004C530000}"/>
    <cellStyle name="Normal 248 4 5 2 2" xfId="21325" xr:uid="{00000000-0005-0000-0000-00004D530000}"/>
    <cellStyle name="Normal 248 4 5 3" xfId="21326" xr:uid="{00000000-0005-0000-0000-00004E530000}"/>
    <cellStyle name="Normal 248 4 6" xfId="21327" xr:uid="{00000000-0005-0000-0000-00004F530000}"/>
    <cellStyle name="Normal 248 5" xfId="21328" xr:uid="{00000000-0005-0000-0000-000050530000}"/>
    <cellStyle name="Normal 248 5 2" xfId="21329" xr:uid="{00000000-0005-0000-0000-000051530000}"/>
    <cellStyle name="Normal 248 5 2 2" xfId="21330" xr:uid="{00000000-0005-0000-0000-000052530000}"/>
    <cellStyle name="Normal 248 5 3" xfId="21331" xr:uid="{00000000-0005-0000-0000-000053530000}"/>
    <cellStyle name="Normal 248 6" xfId="21332" xr:uid="{00000000-0005-0000-0000-000054530000}"/>
    <cellStyle name="Normal 248 6 2" xfId="21333" xr:uid="{00000000-0005-0000-0000-000055530000}"/>
    <cellStyle name="Normal 248 6 2 2" xfId="21334" xr:uid="{00000000-0005-0000-0000-000056530000}"/>
    <cellStyle name="Normal 248 6 3" xfId="21335" xr:uid="{00000000-0005-0000-0000-000057530000}"/>
    <cellStyle name="Normal 248 7" xfId="21336" xr:uid="{00000000-0005-0000-0000-000058530000}"/>
    <cellStyle name="Normal 248 7 2" xfId="21337" xr:uid="{00000000-0005-0000-0000-000059530000}"/>
    <cellStyle name="Normal 248 7 2 2" xfId="21338" xr:uid="{00000000-0005-0000-0000-00005A530000}"/>
    <cellStyle name="Normal 248 7 3" xfId="21339" xr:uid="{00000000-0005-0000-0000-00005B530000}"/>
    <cellStyle name="Normal 248 8" xfId="21340" xr:uid="{00000000-0005-0000-0000-00005C530000}"/>
    <cellStyle name="Normal 249" xfId="21341" xr:uid="{00000000-0005-0000-0000-00005D530000}"/>
    <cellStyle name="Normal 249 2" xfId="21342" xr:uid="{00000000-0005-0000-0000-00005E530000}"/>
    <cellStyle name="Normal 249 2 2" xfId="21343" xr:uid="{00000000-0005-0000-0000-00005F530000}"/>
    <cellStyle name="Normal 249 2 2 2" xfId="21344" xr:uid="{00000000-0005-0000-0000-000060530000}"/>
    <cellStyle name="Normal 249 2 2 2 2" xfId="21345" xr:uid="{00000000-0005-0000-0000-000061530000}"/>
    <cellStyle name="Normal 249 2 2 3" xfId="21346" xr:uid="{00000000-0005-0000-0000-000062530000}"/>
    <cellStyle name="Normal 249 2 2 3 2" xfId="21347" xr:uid="{00000000-0005-0000-0000-000063530000}"/>
    <cellStyle name="Normal 249 2 2 3 2 2" xfId="21348" xr:uid="{00000000-0005-0000-0000-000064530000}"/>
    <cellStyle name="Normal 249 2 2 3 3" xfId="21349" xr:uid="{00000000-0005-0000-0000-000065530000}"/>
    <cellStyle name="Normal 249 2 2 4" xfId="21350" xr:uid="{00000000-0005-0000-0000-000066530000}"/>
    <cellStyle name="Normal 249 2 2 4 2" xfId="21351" xr:uid="{00000000-0005-0000-0000-000067530000}"/>
    <cellStyle name="Normal 249 2 2 4 2 2" xfId="21352" xr:uid="{00000000-0005-0000-0000-000068530000}"/>
    <cellStyle name="Normal 249 2 2 4 3" xfId="21353" xr:uid="{00000000-0005-0000-0000-000069530000}"/>
    <cellStyle name="Normal 249 2 2 5" xfId="21354" xr:uid="{00000000-0005-0000-0000-00006A530000}"/>
    <cellStyle name="Normal 249 2 3" xfId="21355" xr:uid="{00000000-0005-0000-0000-00006B530000}"/>
    <cellStyle name="Normal 249 2 3 2" xfId="21356" xr:uid="{00000000-0005-0000-0000-00006C530000}"/>
    <cellStyle name="Normal 249 2 3 2 2" xfId="21357" xr:uid="{00000000-0005-0000-0000-00006D530000}"/>
    <cellStyle name="Normal 249 2 3 2 2 2" xfId="21358" xr:uid="{00000000-0005-0000-0000-00006E530000}"/>
    <cellStyle name="Normal 249 2 3 2 3" xfId="21359" xr:uid="{00000000-0005-0000-0000-00006F530000}"/>
    <cellStyle name="Normal 249 2 3 2 3 2" xfId="21360" xr:uid="{00000000-0005-0000-0000-000070530000}"/>
    <cellStyle name="Normal 249 2 3 2 3 2 2" xfId="21361" xr:uid="{00000000-0005-0000-0000-000071530000}"/>
    <cellStyle name="Normal 249 2 3 2 3 3" xfId="21362" xr:uid="{00000000-0005-0000-0000-000072530000}"/>
    <cellStyle name="Normal 249 2 3 2 4" xfId="21363" xr:uid="{00000000-0005-0000-0000-000073530000}"/>
    <cellStyle name="Normal 249 2 3 3" xfId="21364" xr:uid="{00000000-0005-0000-0000-000074530000}"/>
    <cellStyle name="Normal 249 2 3 3 2" xfId="21365" xr:uid="{00000000-0005-0000-0000-000075530000}"/>
    <cellStyle name="Normal 249 2 3 3 2 2" xfId="21366" xr:uid="{00000000-0005-0000-0000-000076530000}"/>
    <cellStyle name="Normal 249 2 3 3 3" xfId="21367" xr:uid="{00000000-0005-0000-0000-000077530000}"/>
    <cellStyle name="Normal 249 2 3 4" xfId="21368" xr:uid="{00000000-0005-0000-0000-000078530000}"/>
    <cellStyle name="Normal 249 2 3 4 2" xfId="21369" xr:uid="{00000000-0005-0000-0000-000079530000}"/>
    <cellStyle name="Normal 249 2 3 4 2 2" xfId="21370" xr:uid="{00000000-0005-0000-0000-00007A530000}"/>
    <cellStyle name="Normal 249 2 3 4 3" xfId="21371" xr:uid="{00000000-0005-0000-0000-00007B530000}"/>
    <cellStyle name="Normal 249 2 3 5" xfId="21372" xr:uid="{00000000-0005-0000-0000-00007C530000}"/>
    <cellStyle name="Normal 249 2 3 5 2" xfId="21373" xr:uid="{00000000-0005-0000-0000-00007D530000}"/>
    <cellStyle name="Normal 249 2 3 5 2 2" xfId="21374" xr:uid="{00000000-0005-0000-0000-00007E530000}"/>
    <cellStyle name="Normal 249 2 3 5 3" xfId="21375" xr:uid="{00000000-0005-0000-0000-00007F530000}"/>
    <cellStyle name="Normal 249 2 3 6" xfId="21376" xr:uid="{00000000-0005-0000-0000-000080530000}"/>
    <cellStyle name="Normal 249 2 4" xfId="21377" xr:uid="{00000000-0005-0000-0000-000081530000}"/>
    <cellStyle name="Normal 249 2 4 2" xfId="21378" xr:uid="{00000000-0005-0000-0000-000082530000}"/>
    <cellStyle name="Normal 249 2 4 2 2" xfId="21379" xr:uid="{00000000-0005-0000-0000-000083530000}"/>
    <cellStyle name="Normal 249 2 4 3" xfId="21380" xr:uid="{00000000-0005-0000-0000-000084530000}"/>
    <cellStyle name="Normal 249 2 5" xfId="21381" xr:uid="{00000000-0005-0000-0000-000085530000}"/>
    <cellStyle name="Normal 249 2 5 2" xfId="21382" xr:uid="{00000000-0005-0000-0000-000086530000}"/>
    <cellStyle name="Normal 249 2 5 2 2" xfId="21383" xr:uid="{00000000-0005-0000-0000-000087530000}"/>
    <cellStyle name="Normal 249 2 5 3" xfId="21384" xr:uid="{00000000-0005-0000-0000-000088530000}"/>
    <cellStyle name="Normal 249 2 6" xfId="21385" xr:uid="{00000000-0005-0000-0000-000089530000}"/>
    <cellStyle name="Normal 249 2 6 2" xfId="21386" xr:uid="{00000000-0005-0000-0000-00008A530000}"/>
    <cellStyle name="Normal 249 2 6 2 2" xfId="21387" xr:uid="{00000000-0005-0000-0000-00008B530000}"/>
    <cellStyle name="Normal 249 2 6 3" xfId="21388" xr:uid="{00000000-0005-0000-0000-00008C530000}"/>
    <cellStyle name="Normal 249 2 7" xfId="21389" xr:uid="{00000000-0005-0000-0000-00008D530000}"/>
    <cellStyle name="Normal 249 3" xfId="21390" xr:uid="{00000000-0005-0000-0000-00008E530000}"/>
    <cellStyle name="Normal 249 3 2" xfId="21391" xr:uid="{00000000-0005-0000-0000-00008F530000}"/>
    <cellStyle name="Normal 249 3 2 2" xfId="21392" xr:uid="{00000000-0005-0000-0000-000090530000}"/>
    <cellStyle name="Normal 249 3 3" xfId="21393" xr:uid="{00000000-0005-0000-0000-000091530000}"/>
    <cellStyle name="Normal 249 3 3 2" xfId="21394" xr:uid="{00000000-0005-0000-0000-000092530000}"/>
    <cellStyle name="Normal 249 3 3 2 2" xfId="21395" xr:uid="{00000000-0005-0000-0000-000093530000}"/>
    <cellStyle name="Normal 249 3 3 3" xfId="21396" xr:uid="{00000000-0005-0000-0000-000094530000}"/>
    <cellStyle name="Normal 249 3 4" xfId="21397" xr:uid="{00000000-0005-0000-0000-000095530000}"/>
    <cellStyle name="Normal 249 3 4 2" xfId="21398" xr:uid="{00000000-0005-0000-0000-000096530000}"/>
    <cellStyle name="Normal 249 3 4 2 2" xfId="21399" xr:uid="{00000000-0005-0000-0000-000097530000}"/>
    <cellStyle name="Normal 249 3 4 3" xfId="21400" xr:uid="{00000000-0005-0000-0000-000098530000}"/>
    <cellStyle name="Normal 249 3 5" xfId="21401" xr:uid="{00000000-0005-0000-0000-000099530000}"/>
    <cellStyle name="Normal 249 4" xfId="21402" xr:uid="{00000000-0005-0000-0000-00009A530000}"/>
    <cellStyle name="Normal 249 4 2" xfId="21403" xr:uid="{00000000-0005-0000-0000-00009B530000}"/>
    <cellStyle name="Normal 249 4 2 2" xfId="21404" xr:uid="{00000000-0005-0000-0000-00009C530000}"/>
    <cellStyle name="Normal 249 4 2 2 2" xfId="21405" xr:uid="{00000000-0005-0000-0000-00009D530000}"/>
    <cellStyle name="Normal 249 4 2 3" xfId="21406" xr:uid="{00000000-0005-0000-0000-00009E530000}"/>
    <cellStyle name="Normal 249 4 2 3 2" xfId="21407" xr:uid="{00000000-0005-0000-0000-00009F530000}"/>
    <cellStyle name="Normal 249 4 2 3 2 2" xfId="21408" xr:uid="{00000000-0005-0000-0000-0000A0530000}"/>
    <cellStyle name="Normal 249 4 2 3 3" xfId="21409" xr:uid="{00000000-0005-0000-0000-0000A1530000}"/>
    <cellStyle name="Normal 249 4 2 4" xfId="21410" xr:uid="{00000000-0005-0000-0000-0000A2530000}"/>
    <cellStyle name="Normal 249 4 3" xfId="21411" xr:uid="{00000000-0005-0000-0000-0000A3530000}"/>
    <cellStyle name="Normal 249 4 3 2" xfId="21412" xr:uid="{00000000-0005-0000-0000-0000A4530000}"/>
    <cellStyle name="Normal 249 4 3 2 2" xfId="21413" xr:uid="{00000000-0005-0000-0000-0000A5530000}"/>
    <cellStyle name="Normal 249 4 3 3" xfId="21414" xr:uid="{00000000-0005-0000-0000-0000A6530000}"/>
    <cellStyle name="Normal 249 4 4" xfId="21415" xr:uid="{00000000-0005-0000-0000-0000A7530000}"/>
    <cellStyle name="Normal 249 4 4 2" xfId="21416" xr:uid="{00000000-0005-0000-0000-0000A8530000}"/>
    <cellStyle name="Normal 249 4 4 2 2" xfId="21417" xr:uid="{00000000-0005-0000-0000-0000A9530000}"/>
    <cellStyle name="Normal 249 4 4 3" xfId="21418" xr:uid="{00000000-0005-0000-0000-0000AA530000}"/>
    <cellStyle name="Normal 249 4 5" xfId="21419" xr:uid="{00000000-0005-0000-0000-0000AB530000}"/>
    <cellStyle name="Normal 249 4 5 2" xfId="21420" xr:uid="{00000000-0005-0000-0000-0000AC530000}"/>
    <cellStyle name="Normal 249 4 5 2 2" xfId="21421" xr:uid="{00000000-0005-0000-0000-0000AD530000}"/>
    <cellStyle name="Normal 249 4 5 3" xfId="21422" xr:uid="{00000000-0005-0000-0000-0000AE530000}"/>
    <cellStyle name="Normal 249 4 6" xfId="21423" xr:uid="{00000000-0005-0000-0000-0000AF530000}"/>
    <cellStyle name="Normal 249 5" xfId="21424" xr:uid="{00000000-0005-0000-0000-0000B0530000}"/>
    <cellStyle name="Normal 249 5 2" xfId="21425" xr:uid="{00000000-0005-0000-0000-0000B1530000}"/>
    <cellStyle name="Normal 249 5 2 2" xfId="21426" xr:uid="{00000000-0005-0000-0000-0000B2530000}"/>
    <cellStyle name="Normal 249 5 3" xfId="21427" xr:uid="{00000000-0005-0000-0000-0000B3530000}"/>
    <cellStyle name="Normal 249 6" xfId="21428" xr:uid="{00000000-0005-0000-0000-0000B4530000}"/>
    <cellStyle name="Normal 249 6 2" xfId="21429" xr:uid="{00000000-0005-0000-0000-0000B5530000}"/>
    <cellStyle name="Normal 249 6 2 2" xfId="21430" xr:uid="{00000000-0005-0000-0000-0000B6530000}"/>
    <cellStyle name="Normal 249 6 3" xfId="21431" xr:uid="{00000000-0005-0000-0000-0000B7530000}"/>
    <cellStyle name="Normal 249 7" xfId="21432" xr:uid="{00000000-0005-0000-0000-0000B8530000}"/>
    <cellStyle name="Normal 249 7 2" xfId="21433" xr:uid="{00000000-0005-0000-0000-0000B9530000}"/>
    <cellStyle name="Normal 249 7 2 2" xfId="21434" xr:uid="{00000000-0005-0000-0000-0000BA530000}"/>
    <cellStyle name="Normal 249 7 3" xfId="21435" xr:uid="{00000000-0005-0000-0000-0000BB530000}"/>
    <cellStyle name="Normal 249 8" xfId="21436" xr:uid="{00000000-0005-0000-0000-0000BC530000}"/>
    <cellStyle name="Normal 25" xfId="21437" xr:uid="{00000000-0005-0000-0000-0000BD530000}"/>
    <cellStyle name="Normal 25 2" xfId="21438" xr:uid="{00000000-0005-0000-0000-0000BE530000}"/>
    <cellStyle name="Normal 25 2 2" xfId="21439" xr:uid="{00000000-0005-0000-0000-0000BF530000}"/>
    <cellStyle name="Normal 25 2 2 2" xfId="21440" xr:uid="{00000000-0005-0000-0000-0000C0530000}"/>
    <cellStyle name="Normal 25 2 2 2 2" xfId="21441" xr:uid="{00000000-0005-0000-0000-0000C1530000}"/>
    <cellStyle name="Normal 25 2 2 3" xfId="21442" xr:uid="{00000000-0005-0000-0000-0000C2530000}"/>
    <cellStyle name="Normal 25 2 2 3 2" xfId="21443" xr:uid="{00000000-0005-0000-0000-0000C3530000}"/>
    <cellStyle name="Normal 25 2 2 3 2 2" xfId="21444" xr:uid="{00000000-0005-0000-0000-0000C4530000}"/>
    <cellStyle name="Normal 25 2 2 3 3" xfId="21445" xr:uid="{00000000-0005-0000-0000-0000C5530000}"/>
    <cellStyle name="Normal 25 2 2 4" xfId="21446" xr:uid="{00000000-0005-0000-0000-0000C6530000}"/>
    <cellStyle name="Normal 25 2 2 4 2" xfId="21447" xr:uid="{00000000-0005-0000-0000-0000C7530000}"/>
    <cellStyle name="Normal 25 2 2 4 2 2" xfId="21448" xr:uid="{00000000-0005-0000-0000-0000C8530000}"/>
    <cellStyle name="Normal 25 2 2 4 3" xfId="21449" xr:uid="{00000000-0005-0000-0000-0000C9530000}"/>
    <cellStyle name="Normal 25 2 2 5" xfId="21450" xr:uid="{00000000-0005-0000-0000-0000CA530000}"/>
    <cellStyle name="Normal 25 2 3" xfId="21451" xr:uid="{00000000-0005-0000-0000-0000CB530000}"/>
    <cellStyle name="Normal 25 2 3 2" xfId="21452" xr:uid="{00000000-0005-0000-0000-0000CC530000}"/>
    <cellStyle name="Normal 25 2 3 2 2" xfId="21453" xr:uid="{00000000-0005-0000-0000-0000CD530000}"/>
    <cellStyle name="Normal 25 2 3 3" xfId="21454" xr:uid="{00000000-0005-0000-0000-0000CE530000}"/>
    <cellStyle name="Normal 25 2 4" xfId="21455" xr:uid="{00000000-0005-0000-0000-0000CF530000}"/>
    <cellStyle name="Normal 25 2 4 2" xfId="21456" xr:uid="{00000000-0005-0000-0000-0000D0530000}"/>
    <cellStyle name="Normal 25 2 4 2 2" xfId="21457" xr:uid="{00000000-0005-0000-0000-0000D1530000}"/>
    <cellStyle name="Normal 25 2 4 3" xfId="21458" xr:uid="{00000000-0005-0000-0000-0000D2530000}"/>
    <cellStyle name="Normal 25 2 5" xfId="21459" xr:uid="{00000000-0005-0000-0000-0000D3530000}"/>
    <cellStyle name="Normal 25 2 5 2" xfId="21460" xr:uid="{00000000-0005-0000-0000-0000D4530000}"/>
    <cellStyle name="Normal 25 2 5 2 2" xfId="21461" xr:uid="{00000000-0005-0000-0000-0000D5530000}"/>
    <cellStyle name="Normal 25 2 5 3" xfId="21462" xr:uid="{00000000-0005-0000-0000-0000D6530000}"/>
    <cellStyle name="Normal 25 2 6" xfId="21463" xr:uid="{00000000-0005-0000-0000-0000D7530000}"/>
    <cellStyle name="Normal 25 3" xfId="21464" xr:uid="{00000000-0005-0000-0000-0000D8530000}"/>
    <cellStyle name="Normal 25 3 2" xfId="21465" xr:uid="{00000000-0005-0000-0000-0000D9530000}"/>
    <cellStyle name="Normal 25 3 2 2" xfId="21466" xr:uid="{00000000-0005-0000-0000-0000DA530000}"/>
    <cellStyle name="Normal 25 3 3" xfId="21467" xr:uid="{00000000-0005-0000-0000-0000DB530000}"/>
    <cellStyle name="Normal 25 3 3 2" xfId="21468" xr:uid="{00000000-0005-0000-0000-0000DC530000}"/>
    <cellStyle name="Normal 25 3 3 2 2" xfId="21469" xr:uid="{00000000-0005-0000-0000-0000DD530000}"/>
    <cellStyle name="Normal 25 3 3 3" xfId="21470" xr:uid="{00000000-0005-0000-0000-0000DE530000}"/>
    <cellStyle name="Normal 25 3 4" xfId="21471" xr:uid="{00000000-0005-0000-0000-0000DF530000}"/>
    <cellStyle name="Normal 25 3 4 2" xfId="21472" xr:uid="{00000000-0005-0000-0000-0000E0530000}"/>
    <cellStyle name="Normal 25 3 4 2 2" xfId="21473" xr:uid="{00000000-0005-0000-0000-0000E1530000}"/>
    <cellStyle name="Normal 25 3 4 3" xfId="21474" xr:uid="{00000000-0005-0000-0000-0000E2530000}"/>
    <cellStyle name="Normal 25 3 5" xfId="21475" xr:uid="{00000000-0005-0000-0000-0000E3530000}"/>
    <cellStyle name="Normal 25 4" xfId="21476" xr:uid="{00000000-0005-0000-0000-0000E4530000}"/>
    <cellStyle name="Normal 25 4 2" xfId="21477" xr:uid="{00000000-0005-0000-0000-0000E5530000}"/>
    <cellStyle name="Normal 25 4 2 2" xfId="21478" xr:uid="{00000000-0005-0000-0000-0000E6530000}"/>
    <cellStyle name="Normal 25 4 3" xfId="21479" xr:uid="{00000000-0005-0000-0000-0000E7530000}"/>
    <cellStyle name="Normal 25 4 3 2" xfId="21480" xr:uid="{00000000-0005-0000-0000-0000E8530000}"/>
    <cellStyle name="Normal 25 4 3 2 2" xfId="21481" xr:uid="{00000000-0005-0000-0000-0000E9530000}"/>
    <cellStyle name="Normal 25 4 3 3" xfId="21482" xr:uid="{00000000-0005-0000-0000-0000EA530000}"/>
    <cellStyle name="Normal 25 4 4" xfId="21483" xr:uid="{00000000-0005-0000-0000-0000EB530000}"/>
    <cellStyle name="Normal 25 4 4 2" xfId="21484" xr:uid="{00000000-0005-0000-0000-0000EC530000}"/>
    <cellStyle name="Normal 25 4 4 2 2" xfId="21485" xr:uid="{00000000-0005-0000-0000-0000ED530000}"/>
    <cellStyle name="Normal 25 4 4 3" xfId="21486" xr:uid="{00000000-0005-0000-0000-0000EE530000}"/>
    <cellStyle name="Normal 25 4 5" xfId="21487" xr:uid="{00000000-0005-0000-0000-0000EF530000}"/>
    <cellStyle name="Normal 25 5" xfId="21488" xr:uid="{00000000-0005-0000-0000-0000F0530000}"/>
    <cellStyle name="Normal 25 5 2" xfId="21489" xr:uid="{00000000-0005-0000-0000-0000F1530000}"/>
    <cellStyle name="Normal 25 5 2 2" xfId="21490" xr:uid="{00000000-0005-0000-0000-0000F2530000}"/>
    <cellStyle name="Normal 25 5 3" xfId="21491" xr:uid="{00000000-0005-0000-0000-0000F3530000}"/>
    <cellStyle name="Normal 25 6" xfId="21492" xr:uid="{00000000-0005-0000-0000-0000F4530000}"/>
    <cellStyle name="Normal 25 6 2" xfId="21493" xr:uid="{00000000-0005-0000-0000-0000F5530000}"/>
    <cellStyle name="Normal 25 6 2 2" xfId="21494" xr:uid="{00000000-0005-0000-0000-0000F6530000}"/>
    <cellStyle name="Normal 25 6 3" xfId="21495" xr:uid="{00000000-0005-0000-0000-0000F7530000}"/>
    <cellStyle name="Normal 25 7" xfId="21496" xr:uid="{00000000-0005-0000-0000-0000F8530000}"/>
    <cellStyle name="Normal 25 7 2" xfId="21497" xr:uid="{00000000-0005-0000-0000-0000F9530000}"/>
    <cellStyle name="Normal 25 7 2 2" xfId="21498" xr:uid="{00000000-0005-0000-0000-0000FA530000}"/>
    <cellStyle name="Normal 25 7 3" xfId="21499" xr:uid="{00000000-0005-0000-0000-0000FB530000}"/>
    <cellStyle name="Normal 25 8" xfId="21500" xr:uid="{00000000-0005-0000-0000-0000FC530000}"/>
    <cellStyle name="Normal 250" xfId="21501" xr:uid="{00000000-0005-0000-0000-0000FD530000}"/>
    <cellStyle name="Normal 250 2" xfId="21502" xr:uid="{00000000-0005-0000-0000-0000FE530000}"/>
    <cellStyle name="Normal 250 2 2" xfId="21503" xr:uid="{00000000-0005-0000-0000-0000FF530000}"/>
    <cellStyle name="Normal 250 2 2 2" xfId="21504" xr:uid="{00000000-0005-0000-0000-000000540000}"/>
    <cellStyle name="Normal 250 2 2 2 2" xfId="21505" xr:uid="{00000000-0005-0000-0000-000001540000}"/>
    <cellStyle name="Normal 250 2 2 3" xfId="21506" xr:uid="{00000000-0005-0000-0000-000002540000}"/>
    <cellStyle name="Normal 250 2 2 3 2" xfId="21507" xr:uid="{00000000-0005-0000-0000-000003540000}"/>
    <cellStyle name="Normal 250 2 2 3 2 2" xfId="21508" xr:uid="{00000000-0005-0000-0000-000004540000}"/>
    <cellStyle name="Normal 250 2 2 3 3" xfId="21509" xr:uid="{00000000-0005-0000-0000-000005540000}"/>
    <cellStyle name="Normal 250 2 2 4" xfId="21510" xr:uid="{00000000-0005-0000-0000-000006540000}"/>
    <cellStyle name="Normal 250 2 2 4 2" xfId="21511" xr:uid="{00000000-0005-0000-0000-000007540000}"/>
    <cellStyle name="Normal 250 2 2 4 2 2" xfId="21512" xr:uid="{00000000-0005-0000-0000-000008540000}"/>
    <cellStyle name="Normal 250 2 2 4 3" xfId="21513" xr:uid="{00000000-0005-0000-0000-000009540000}"/>
    <cellStyle name="Normal 250 2 2 5" xfId="21514" xr:uid="{00000000-0005-0000-0000-00000A540000}"/>
    <cellStyle name="Normal 250 2 3" xfId="21515" xr:uid="{00000000-0005-0000-0000-00000B540000}"/>
    <cellStyle name="Normal 250 2 3 2" xfId="21516" xr:uid="{00000000-0005-0000-0000-00000C540000}"/>
    <cellStyle name="Normal 250 2 3 2 2" xfId="21517" xr:uid="{00000000-0005-0000-0000-00000D540000}"/>
    <cellStyle name="Normal 250 2 3 2 2 2" xfId="21518" xr:uid="{00000000-0005-0000-0000-00000E540000}"/>
    <cellStyle name="Normal 250 2 3 2 3" xfId="21519" xr:uid="{00000000-0005-0000-0000-00000F540000}"/>
    <cellStyle name="Normal 250 2 3 2 3 2" xfId="21520" xr:uid="{00000000-0005-0000-0000-000010540000}"/>
    <cellStyle name="Normal 250 2 3 2 3 2 2" xfId="21521" xr:uid="{00000000-0005-0000-0000-000011540000}"/>
    <cellStyle name="Normal 250 2 3 2 3 3" xfId="21522" xr:uid="{00000000-0005-0000-0000-000012540000}"/>
    <cellStyle name="Normal 250 2 3 2 4" xfId="21523" xr:uid="{00000000-0005-0000-0000-000013540000}"/>
    <cellStyle name="Normal 250 2 3 3" xfId="21524" xr:uid="{00000000-0005-0000-0000-000014540000}"/>
    <cellStyle name="Normal 250 2 3 3 2" xfId="21525" xr:uid="{00000000-0005-0000-0000-000015540000}"/>
    <cellStyle name="Normal 250 2 3 3 2 2" xfId="21526" xr:uid="{00000000-0005-0000-0000-000016540000}"/>
    <cellStyle name="Normal 250 2 3 3 3" xfId="21527" xr:uid="{00000000-0005-0000-0000-000017540000}"/>
    <cellStyle name="Normal 250 2 3 4" xfId="21528" xr:uid="{00000000-0005-0000-0000-000018540000}"/>
    <cellStyle name="Normal 250 2 3 4 2" xfId="21529" xr:uid="{00000000-0005-0000-0000-000019540000}"/>
    <cellStyle name="Normal 250 2 3 4 2 2" xfId="21530" xr:uid="{00000000-0005-0000-0000-00001A540000}"/>
    <cellStyle name="Normal 250 2 3 4 3" xfId="21531" xr:uid="{00000000-0005-0000-0000-00001B540000}"/>
    <cellStyle name="Normal 250 2 3 5" xfId="21532" xr:uid="{00000000-0005-0000-0000-00001C540000}"/>
    <cellStyle name="Normal 250 2 3 5 2" xfId="21533" xr:uid="{00000000-0005-0000-0000-00001D540000}"/>
    <cellStyle name="Normal 250 2 3 5 2 2" xfId="21534" xr:uid="{00000000-0005-0000-0000-00001E540000}"/>
    <cellStyle name="Normal 250 2 3 5 3" xfId="21535" xr:uid="{00000000-0005-0000-0000-00001F540000}"/>
    <cellStyle name="Normal 250 2 3 6" xfId="21536" xr:uid="{00000000-0005-0000-0000-000020540000}"/>
    <cellStyle name="Normal 250 2 4" xfId="21537" xr:uid="{00000000-0005-0000-0000-000021540000}"/>
    <cellStyle name="Normal 250 2 4 2" xfId="21538" xr:uid="{00000000-0005-0000-0000-000022540000}"/>
    <cellStyle name="Normal 250 2 4 2 2" xfId="21539" xr:uid="{00000000-0005-0000-0000-000023540000}"/>
    <cellStyle name="Normal 250 2 4 3" xfId="21540" xr:uid="{00000000-0005-0000-0000-000024540000}"/>
    <cellStyle name="Normal 250 2 5" xfId="21541" xr:uid="{00000000-0005-0000-0000-000025540000}"/>
    <cellStyle name="Normal 250 2 5 2" xfId="21542" xr:uid="{00000000-0005-0000-0000-000026540000}"/>
    <cellStyle name="Normal 250 2 5 2 2" xfId="21543" xr:uid="{00000000-0005-0000-0000-000027540000}"/>
    <cellStyle name="Normal 250 2 5 3" xfId="21544" xr:uid="{00000000-0005-0000-0000-000028540000}"/>
    <cellStyle name="Normal 250 2 6" xfId="21545" xr:uid="{00000000-0005-0000-0000-000029540000}"/>
    <cellStyle name="Normal 250 2 6 2" xfId="21546" xr:uid="{00000000-0005-0000-0000-00002A540000}"/>
    <cellStyle name="Normal 250 2 6 2 2" xfId="21547" xr:uid="{00000000-0005-0000-0000-00002B540000}"/>
    <cellStyle name="Normal 250 2 6 3" xfId="21548" xr:uid="{00000000-0005-0000-0000-00002C540000}"/>
    <cellStyle name="Normal 250 2 7" xfId="21549" xr:uid="{00000000-0005-0000-0000-00002D540000}"/>
    <cellStyle name="Normal 250 3" xfId="21550" xr:uid="{00000000-0005-0000-0000-00002E540000}"/>
    <cellStyle name="Normal 250 3 2" xfId="21551" xr:uid="{00000000-0005-0000-0000-00002F540000}"/>
    <cellStyle name="Normal 250 3 2 2" xfId="21552" xr:uid="{00000000-0005-0000-0000-000030540000}"/>
    <cellStyle name="Normal 250 3 3" xfId="21553" xr:uid="{00000000-0005-0000-0000-000031540000}"/>
    <cellStyle name="Normal 250 3 3 2" xfId="21554" xr:uid="{00000000-0005-0000-0000-000032540000}"/>
    <cellStyle name="Normal 250 3 3 2 2" xfId="21555" xr:uid="{00000000-0005-0000-0000-000033540000}"/>
    <cellStyle name="Normal 250 3 3 3" xfId="21556" xr:uid="{00000000-0005-0000-0000-000034540000}"/>
    <cellStyle name="Normal 250 3 4" xfId="21557" xr:uid="{00000000-0005-0000-0000-000035540000}"/>
    <cellStyle name="Normal 250 3 4 2" xfId="21558" xr:uid="{00000000-0005-0000-0000-000036540000}"/>
    <cellStyle name="Normal 250 3 4 2 2" xfId="21559" xr:uid="{00000000-0005-0000-0000-000037540000}"/>
    <cellStyle name="Normal 250 3 4 3" xfId="21560" xr:uid="{00000000-0005-0000-0000-000038540000}"/>
    <cellStyle name="Normal 250 3 5" xfId="21561" xr:uid="{00000000-0005-0000-0000-000039540000}"/>
    <cellStyle name="Normal 250 4" xfId="21562" xr:uid="{00000000-0005-0000-0000-00003A540000}"/>
    <cellStyle name="Normal 250 4 2" xfId="21563" xr:uid="{00000000-0005-0000-0000-00003B540000}"/>
    <cellStyle name="Normal 250 4 2 2" xfId="21564" xr:uid="{00000000-0005-0000-0000-00003C540000}"/>
    <cellStyle name="Normal 250 4 2 2 2" xfId="21565" xr:uid="{00000000-0005-0000-0000-00003D540000}"/>
    <cellStyle name="Normal 250 4 2 3" xfId="21566" xr:uid="{00000000-0005-0000-0000-00003E540000}"/>
    <cellStyle name="Normal 250 4 2 3 2" xfId="21567" xr:uid="{00000000-0005-0000-0000-00003F540000}"/>
    <cellStyle name="Normal 250 4 2 3 2 2" xfId="21568" xr:uid="{00000000-0005-0000-0000-000040540000}"/>
    <cellStyle name="Normal 250 4 2 3 3" xfId="21569" xr:uid="{00000000-0005-0000-0000-000041540000}"/>
    <cellStyle name="Normal 250 4 2 4" xfId="21570" xr:uid="{00000000-0005-0000-0000-000042540000}"/>
    <cellStyle name="Normal 250 4 3" xfId="21571" xr:uid="{00000000-0005-0000-0000-000043540000}"/>
    <cellStyle name="Normal 250 4 3 2" xfId="21572" xr:uid="{00000000-0005-0000-0000-000044540000}"/>
    <cellStyle name="Normal 250 4 3 2 2" xfId="21573" xr:uid="{00000000-0005-0000-0000-000045540000}"/>
    <cellStyle name="Normal 250 4 3 3" xfId="21574" xr:uid="{00000000-0005-0000-0000-000046540000}"/>
    <cellStyle name="Normal 250 4 4" xfId="21575" xr:uid="{00000000-0005-0000-0000-000047540000}"/>
    <cellStyle name="Normal 250 4 4 2" xfId="21576" xr:uid="{00000000-0005-0000-0000-000048540000}"/>
    <cellStyle name="Normal 250 4 4 2 2" xfId="21577" xr:uid="{00000000-0005-0000-0000-000049540000}"/>
    <cellStyle name="Normal 250 4 4 3" xfId="21578" xr:uid="{00000000-0005-0000-0000-00004A540000}"/>
    <cellStyle name="Normal 250 4 5" xfId="21579" xr:uid="{00000000-0005-0000-0000-00004B540000}"/>
    <cellStyle name="Normal 250 4 5 2" xfId="21580" xr:uid="{00000000-0005-0000-0000-00004C540000}"/>
    <cellStyle name="Normal 250 4 5 2 2" xfId="21581" xr:uid="{00000000-0005-0000-0000-00004D540000}"/>
    <cellStyle name="Normal 250 4 5 3" xfId="21582" xr:uid="{00000000-0005-0000-0000-00004E540000}"/>
    <cellStyle name="Normal 250 4 6" xfId="21583" xr:uid="{00000000-0005-0000-0000-00004F540000}"/>
    <cellStyle name="Normal 250 5" xfId="21584" xr:uid="{00000000-0005-0000-0000-000050540000}"/>
    <cellStyle name="Normal 250 5 2" xfId="21585" xr:uid="{00000000-0005-0000-0000-000051540000}"/>
    <cellStyle name="Normal 250 5 2 2" xfId="21586" xr:uid="{00000000-0005-0000-0000-000052540000}"/>
    <cellStyle name="Normal 250 5 3" xfId="21587" xr:uid="{00000000-0005-0000-0000-000053540000}"/>
    <cellStyle name="Normal 250 6" xfId="21588" xr:uid="{00000000-0005-0000-0000-000054540000}"/>
    <cellStyle name="Normal 250 6 2" xfId="21589" xr:uid="{00000000-0005-0000-0000-000055540000}"/>
    <cellStyle name="Normal 250 6 2 2" xfId="21590" xr:uid="{00000000-0005-0000-0000-000056540000}"/>
    <cellStyle name="Normal 250 6 3" xfId="21591" xr:uid="{00000000-0005-0000-0000-000057540000}"/>
    <cellStyle name="Normal 250 7" xfId="21592" xr:uid="{00000000-0005-0000-0000-000058540000}"/>
    <cellStyle name="Normal 250 7 2" xfId="21593" xr:uid="{00000000-0005-0000-0000-000059540000}"/>
    <cellStyle name="Normal 250 7 2 2" xfId="21594" xr:uid="{00000000-0005-0000-0000-00005A540000}"/>
    <cellStyle name="Normal 250 7 3" xfId="21595" xr:uid="{00000000-0005-0000-0000-00005B540000}"/>
    <cellStyle name="Normal 250 8" xfId="21596" xr:uid="{00000000-0005-0000-0000-00005C540000}"/>
    <cellStyle name="Normal 251" xfId="21597" xr:uid="{00000000-0005-0000-0000-00005D540000}"/>
    <cellStyle name="Normal 251 2" xfId="21598" xr:uid="{00000000-0005-0000-0000-00005E540000}"/>
    <cellStyle name="Normal 251 2 2" xfId="21599" xr:uid="{00000000-0005-0000-0000-00005F540000}"/>
    <cellStyle name="Normal 251 2 2 2" xfId="21600" xr:uid="{00000000-0005-0000-0000-000060540000}"/>
    <cellStyle name="Normal 251 2 2 2 2" xfId="21601" xr:uid="{00000000-0005-0000-0000-000061540000}"/>
    <cellStyle name="Normal 251 2 2 3" xfId="21602" xr:uid="{00000000-0005-0000-0000-000062540000}"/>
    <cellStyle name="Normal 251 2 2 3 2" xfId="21603" xr:uid="{00000000-0005-0000-0000-000063540000}"/>
    <cellStyle name="Normal 251 2 2 3 2 2" xfId="21604" xr:uid="{00000000-0005-0000-0000-000064540000}"/>
    <cellStyle name="Normal 251 2 2 3 3" xfId="21605" xr:uid="{00000000-0005-0000-0000-000065540000}"/>
    <cellStyle name="Normal 251 2 2 4" xfId="21606" xr:uid="{00000000-0005-0000-0000-000066540000}"/>
    <cellStyle name="Normal 251 2 2 4 2" xfId="21607" xr:uid="{00000000-0005-0000-0000-000067540000}"/>
    <cellStyle name="Normal 251 2 2 4 2 2" xfId="21608" xr:uid="{00000000-0005-0000-0000-000068540000}"/>
    <cellStyle name="Normal 251 2 2 4 3" xfId="21609" xr:uid="{00000000-0005-0000-0000-000069540000}"/>
    <cellStyle name="Normal 251 2 2 5" xfId="21610" xr:uid="{00000000-0005-0000-0000-00006A540000}"/>
    <cellStyle name="Normal 251 2 3" xfId="21611" xr:uid="{00000000-0005-0000-0000-00006B540000}"/>
    <cellStyle name="Normal 251 2 3 2" xfId="21612" xr:uid="{00000000-0005-0000-0000-00006C540000}"/>
    <cellStyle name="Normal 251 2 3 2 2" xfId="21613" xr:uid="{00000000-0005-0000-0000-00006D540000}"/>
    <cellStyle name="Normal 251 2 3 2 2 2" xfId="21614" xr:uid="{00000000-0005-0000-0000-00006E540000}"/>
    <cellStyle name="Normal 251 2 3 2 3" xfId="21615" xr:uid="{00000000-0005-0000-0000-00006F540000}"/>
    <cellStyle name="Normal 251 2 3 2 3 2" xfId="21616" xr:uid="{00000000-0005-0000-0000-000070540000}"/>
    <cellStyle name="Normal 251 2 3 2 3 2 2" xfId="21617" xr:uid="{00000000-0005-0000-0000-000071540000}"/>
    <cellStyle name="Normal 251 2 3 2 3 3" xfId="21618" xr:uid="{00000000-0005-0000-0000-000072540000}"/>
    <cellStyle name="Normal 251 2 3 2 4" xfId="21619" xr:uid="{00000000-0005-0000-0000-000073540000}"/>
    <cellStyle name="Normal 251 2 3 3" xfId="21620" xr:uid="{00000000-0005-0000-0000-000074540000}"/>
    <cellStyle name="Normal 251 2 3 3 2" xfId="21621" xr:uid="{00000000-0005-0000-0000-000075540000}"/>
    <cellStyle name="Normal 251 2 3 3 2 2" xfId="21622" xr:uid="{00000000-0005-0000-0000-000076540000}"/>
    <cellStyle name="Normal 251 2 3 3 3" xfId="21623" xr:uid="{00000000-0005-0000-0000-000077540000}"/>
    <cellStyle name="Normal 251 2 3 4" xfId="21624" xr:uid="{00000000-0005-0000-0000-000078540000}"/>
    <cellStyle name="Normal 251 2 3 4 2" xfId="21625" xr:uid="{00000000-0005-0000-0000-000079540000}"/>
    <cellStyle name="Normal 251 2 3 4 2 2" xfId="21626" xr:uid="{00000000-0005-0000-0000-00007A540000}"/>
    <cellStyle name="Normal 251 2 3 4 3" xfId="21627" xr:uid="{00000000-0005-0000-0000-00007B540000}"/>
    <cellStyle name="Normal 251 2 3 5" xfId="21628" xr:uid="{00000000-0005-0000-0000-00007C540000}"/>
    <cellStyle name="Normal 251 2 3 5 2" xfId="21629" xr:uid="{00000000-0005-0000-0000-00007D540000}"/>
    <cellStyle name="Normal 251 2 3 5 2 2" xfId="21630" xr:uid="{00000000-0005-0000-0000-00007E540000}"/>
    <cellStyle name="Normal 251 2 3 5 3" xfId="21631" xr:uid="{00000000-0005-0000-0000-00007F540000}"/>
    <cellStyle name="Normal 251 2 3 6" xfId="21632" xr:uid="{00000000-0005-0000-0000-000080540000}"/>
    <cellStyle name="Normal 251 2 4" xfId="21633" xr:uid="{00000000-0005-0000-0000-000081540000}"/>
    <cellStyle name="Normal 251 2 4 2" xfId="21634" xr:uid="{00000000-0005-0000-0000-000082540000}"/>
    <cellStyle name="Normal 251 2 4 2 2" xfId="21635" xr:uid="{00000000-0005-0000-0000-000083540000}"/>
    <cellStyle name="Normal 251 2 4 3" xfId="21636" xr:uid="{00000000-0005-0000-0000-000084540000}"/>
    <cellStyle name="Normal 251 2 5" xfId="21637" xr:uid="{00000000-0005-0000-0000-000085540000}"/>
    <cellStyle name="Normal 251 2 5 2" xfId="21638" xr:uid="{00000000-0005-0000-0000-000086540000}"/>
    <cellStyle name="Normal 251 2 5 2 2" xfId="21639" xr:uid="{00000000-0005-0000-0000-000087540000}"/>
    <cellStyle name="Normal 251 2 5 3" xfId="21640" xr:uid="{00000000-0005-0000-0000-000088540000}"/>
    <cellStyle name="Normal 251 2 6" xfId="21641" xr:uid="{00000000-0005-0000-0000-000089540000}"/>
    <cellStyle name="Normal 251 2 6 2" xfId="21642" xr:uid="{00000000-0005-0000-0000-00008A540000}"/>
    <cellStyle name="Normal 251 2 6 2 2" xfId="21643" xr:uid="{00000000-0005-0000-0000-00008B540000}"/>
    <cellStyle name="Normal 251 2 6 3" xfId="21644" xr:uid="{00000000-0005-0000-0000-00008C540000}"/>
    <cellStyle name="Normal 251 2 7" xfId="21645" xr:uid="{00000000-0005-0000-0000-00008D540000}"/>
    <cellStyle name="Normal 251 3" xfId="21646" xr:uid="{00000000-0005-0000-0000-00008E540000}"/>
    <cellStyle name="Normal 251 3 2" xfId="21647" xr:uid="{00000000-0005-0000-0000-00008F540000}"/>
    <cellStyle name="Normal 251 3 2 2" xfId="21648" xr:uid="{00000000-0005-0000-0000-000090540000}"/>
    <cellStyle name="Normal 251 3 3" xfId="21649" xr:uid="{00000000-0005-0000-0000-000091540000}"/>
    <cellStyle name="Normal 251 3 3 2" xfId="21650" xr:uid="{00000000-0005-0000-0000-000092540000}"/>
    <cellStyle name="Normal 251 3 3 2 2" xfId="21651" xr:uid="{00000000-0005-0000-0000-000093540000}"/>
    <cellStyle name="Normal 251 3 3 3" xfId="21652" xr:uid="{00000000-0005-0000-0000-000094540000}"/>
    <cellStyle name="Normal 251 3 4" xfId="21653" xr:uid="{00000000-0005-0000-0000-000095540000}"/>
    <cellStyle name="Normal 251 3 4 2" xfId="21654" xr:uid="{00000000-0005-0000-0000-000096540000}"/>
    <cellStyle name="Normal 251 3 4 2 2" xfId="21655" xr:uid="{00000000-0005-0000-0000-000097540000}"/>
    <cellStyle name="Normal 251 3 4 3" xfId="21656" xr:uid="{00000000-0005-0000-0000-000098540000}"/>
    <cellStyle name="Normal 251 3 5" xfId="21657" xr:uid="{00000000-0005-0000-0000-000099540000}"/>
    <cellStyle name="Normal 251 4" xfId="21658" xr:uid="{00000000-0005-0000-0000-00009A540000}"/>
    <cellStyle name="Normal 251 4 2" xfId="21659" xr:uid="{00000000-0005-0000-0000-00009B540000}"/>
    <cellStyle name="Normal 251 4 2 2" xfId="21660" xr:uid="{00000000-0005-0000-0000-00009C540000}"/>
    <cellStyle name="Normal 251 4 2 2 2" xfId="21661" xr:uid="{00000000-0005-0000-0000-00009D540000}"/>
    <cellStyle name="Normal 251 4 2 3" xfId="21662" xr:uid="{00000000-0005-0000-0000-00009E540000}"/>
    <cellStyle name="Normal 251 4 2 3 2" xfId="21663" xr:uid="{00000000-0005-0000-0000-00009F540000}"/>
    <cellStyle name="Normal 251 4 2 3 2 2" xfId="21664" xr:uid="{00000000-0005-0000-0000-0000A0540000}"/>
    <cellStyle name="Normal 251 4 2 3 3" xfId="21665" xr:uid="{00000000-0005-0000-0000-0000A1540000}"/>
    <cellStyle name="Normal 251 4 2 4" xfId="21666" xr:uid="{00000000-0005-0000-0000-0000A2540000}"/>
    <cellStyle name="Normal 251 4 3" xfId="21667" xr:uid="{00000000-0005-0000-0000-0000A3540000}"/>
    <cellStyle name="Normal 251 4 3 2" xfId="21668" xr:uid="{00000000-0005-0000-0000-0000A4540000}"/>
    <cellStyle name="Normal 251 4 3 2 2" xfId="21669" xr:uid="{00000000-0005-0000-0000-0000A5540000}"/>
    <cellStyle name="Normal 251 4 3 3" xfId="21670" xr:uid="{00000000-0005-0000-0000-0000A6540000}"/>
    <cellStyle name="Normal 251 4 4" xfId="21671" xr:uid="{00000000-0005-0000-0000-0000A7540000}"/>
    <cellStyle name="Normal 251 4 4 2" xfId="21672" xr:uid="{00000000-0005-0000-0000-0000A8540000}"/>
    <cellStyle name="Normal 251 4 4 2 2" xfId="21673" xr:uid="{00000000-0005-0000-0000-0000A9540000}"/>
    <cellStyle name="Normal 251 4 4 3" xfId="21674" xr:uid="{00000000-0005-0000-0000-0000AA540000}"/>
    <cellStyle name="Normal 251 4 5" xfId="21675" xr:uid="{00000000-0005-0000-0000-0000AB540000}"/>
    <cellStyle name="Normal 251 4 5 2" xfId="21676" xr:uid="{00000000-0005-0000-0000-0000AC540000}"/>
    <cellStyle name="Normal 251 4 5 2 2" xfId="21677" xr:uid="{00000000-0005-0000-0000-0000AD540000}"/>
    <cellStyle name="Normal 251 4 5 3" xfId="21678" xr:uid="{00000000-0005-0000-0000-0000AE540000}"/>
    <cellStyle name="Normal 251 4 6" xfId="21679" xr:uid="{00000000-0005-0000-0000-0000AF540000}"/>
    <cellStyle name="Normal 251 5" xfId="21680" xr:uid="{00000000-0005-0000-0000-0000B0540000}"/>
    <cellStyle name="Normal 251 5 2" xfId="21681" xr:uid="{00000000-0005-0000-0000-0000B1540000}"/>
    <cellStyle name="Normal 251 5 2 2" xfId="21682" xr:uid="{00000000-0005-0000-0000-0000B2540000}"/>
    <cellStyle name="Normal 251 5 3" xfId="21683" xr:uid="{00000000-0005-0000-0000-0000B3540000}"/>
    <cellStyle name="Normal 251 6" xfId="21684" xr:uid="{00000000-0005-0000-0000-0000B4540000}"/>
    <cellStyle name="Normal 251 6 2" xfId="21685" xr:uid="{00000000-0005-0000-0000-0000B5540000}"/>
    <cellStyle name="Normal 251 6 2 2" xfId="21686" xr:uid="{00000000-0005-0000-0000-0000B6540000}"/>
    <cellStyle name="Normal 251 6 3" xfId="21687" xr:uid="{00000000-0005-0000-0000-0000B7540000}"/>
    <cellStyle name="Normal 251 7" xfId="21688" xr:uid="{00000000-0005-0000-0000-0000B8540000}"/>
    <cellStyle name="Normal 251 7 2" xfId="21689" xr:uid="{00000000-0005-0000-0000-0000B9540000}"/>
    <cellStyle name="Normal 251 7 2 2" xfId="21690" xr:uid="{00000000-0005-0000-0000-0000BA540000}"/>
    <cellStyle name="Normal 251 7 3" xfId="21691" xr:uid="{00000000-0005-0000-0000-0000BB540000}"/>
    <cellStyle name="Normal 251 8" xfId="21692" xr:uid="{00000000-0005-0000-0000-0000BC540000}"/>
    <cellStyle name="Normal 252" xfId="21693" xr:uid="{00000000-0005-0000-0000-0000BD540000}"/>
    <cellStyle name="Normal 252 2" xfId="21694" xr:uid="{00000000-0005-0000-0000-0000BE540000}"/>
    <cellStyle name="Normal 252 2 2" xfId="21695" xr:uid="{00000000-0005-0000-0000-0000BF540000}"/>
    <cellStyle name="Normal 252 2 2 2" xfId="21696" xr:uid="{00000000-0005-0000-0000-0000C0540000}"/>
    <cellStyle name="Normal 252 2 2 2 2" xfId="21697" xr:uid="{00000000-0005-0000-0000-0000C1540000}"/>
    <cellStyle name="Normal 252 2 2 3" xfId="21698" xr:uid="{00000000-0005-0000-0000-0000C2540000}"/>
    <cellStyle name="Normal 252 2 2 3 2" xfId="21699" xr:uid="{00000000-0005-0000-0000-0000C3540000}"/>
    <cellStyle name="Normal 252 2 2 3 2 2" xfId="21700" xr:uid="{00000000-0005-0000-0000-0000C4540000}"/>
    <cellStyle name="Normal 252 2 2 3 3" xfId="21701" xr:uid="{00000000-0005-0000-0000-0000C5540000}"/>
    <cellStyle name="Normal 252 2 2 4" xfId="21702" xr:uid="{00000000-0005-0000-0000-0000C6540000}"/>
    <cellStyle name="Normal 252 2 2 4 2" xfId="21703" xr:uid="{00000000-0005-0000-0000-0000C7540000}"/>
    <cellStyle name="Normal 252 2 2 4 2 2" xfId="21704" xr:uid="{00000000-0005-0000-0000-0000C8540000}"/>
    <cellStyle name="Normal 252 2 2 4 3" xfId="21705" xr:uid="{00000000-0005-0000-0000-0000C9540000}"/>
    <cellStyle name="Normal 252 2 2 5" xfId="21706" xr:uid="{00000000-0005-0000-0000-0000CA540000}"/>
    <cellStyle name="Normal 252 2 3" xfId="21707" xr:uid="{00000000-0005-0000-0000-0000CB540000}"/>
    <cellStyle name="Normal 252 2 3 2" xfId="21708" xr:uid="{00000000-0005-0000-0000-0000CC540000}"/>
    <cellStyle name="Normal 252 2 3 2 2" xfId="21709" xr:uid="{00000000-0005-0000-0000-0000CD540000}"/>
    <cellStyle name="Normal 252 2 3 2 2 2" xfId="21710" xr:uid="{00000000-0005-0000-0000-0000CE540000}"/>
    <cellStyle name="Normal 252 2 3 2 3" xfId="21711" xr:uid="{00000000-0005-0000-0000-0000CF540000}"/>
    <cellStyle name="Normal 252 2 3 2 3 2" xfId="21712" xr:uid="{00000000-0005-0000-0000-0000D0540000}"/>
    <cellStyle name="Normal 252 2 3 2 3 2 2" xfId="21713" xr:uid="{00000000-0005-0000-0000-0000D1540000}"/>
    <cellStyle name="Normal 252 2 3 2 3 3" xfId="21714" xr:uid="{00000000-0005-0000-0000-0000D2540000}"/>
    <cellStyle name="Normal 252 2 3 2 4" xfId="21715" xr:uid="{00000000-0005-0000-0000-0000D3540000}"/>
    <cellStyle name="Normal 252 2 3 3" xfId="21716" xr:uid="{00000000-0005-0000-0000-0000D4540000}"/>
    <cellStyle name="Normal 252 2 3 3 2" xfId="21717" xr:uid="{00000000-0005-0000-0000-0000D5540000}"/>
    <cellStyle name="Normal 252 2 3 3 2 2" xfId="21718" xr:uid="{00000000-0005-0000-0000-0000D6540000}"/>
    <cellStyle name="Normal 252 2 3 3 3" xfId="21719" xr:uid="{00000000-0005-0000-0000-0000D7540000}"/>
    <cellStyle name="Normal 252 2 3 4" xfId="21720" xr:uid="{00000000-0005-0000-0000-0000D8540000}"/>
    <cellStyle name="Normal 252 2 3 4 2" xfId="21721" xr:uid="{00000000-0005-0000-0000-0000D9540000}"/>
    <cellStyle name="Normal 252 2 3 4 2 2" xfId="21722" xr:uid="{00000000-0005-0000-0000-0000DA540000}"/>
    <cellStyle name="Normal 252 2 3 4 3" xfId="21723" xr:uid="{00000000-0005-0000-0000-0000DB540000}"/>
    <cellStyle name="Normal 252 2 3 5" xfId="21724" xr:uid="{00000000-0005-0000-0000-0000DC540000}"/>
    <cellStyle name="Normal 252 2 3 5 2" xfId="21725" xr:uid="{00000000-0005-0000-0000-0000DD540000}"/>
    <cellStyle name="Normal 252 2 3 5 2 2" xfId="21726" xr:uid="{00000000-0005-0000-0000-0000DE540000}"/>
    <cellStyle name="Normal 252 2 3 5 3" xfId="21727" xr:uid="{00000000-0005-0000-0000-0000DF540000}"/>
    <cellStyle name="Normal 252 2 3 6" xfId="21728" xr:uid="{00000000-0005-0000-0000-0000E0540000}"/>
    <cellStyle name="Normal 252 2 4" xfId="21729" xr:uid="{00000000-0005-0000-0000-0000E1540000}"/>
    <cellStyle name="Normal 252 2 4 2" xfId="21730" xr:uid="{00000000-0005-0000-0000-0000E2540000}"/>
    <cellStyle name="Normal 252 2 4 2 2" xfId="21731" xr:uid="{00000000-0005-0000-0000-0000E3540000}"/>
    <cellStyle name="Normal 252 2 4 3" xfId="21732" xr:uid="{00000000-0005-0000-0000-0000E4540000}"/>
    <cellStyle name="Normal 252 2 5" xfId="21733" xr:uid="{00000000-0005-0000-0000-0000E5540000}"/>
    <cellStyle name="Normal 252 2 5 2" xfId="21734" xr:uid="{00000000-0005-0000-0000-0000E6540000}"/>
    <cellStyle name="Normal 252 2 5 2 2" xfId="21735" xr:uid="{00000000-0005-0000-0000-0000E7540000}"/>
    <cellStyle name="Normal 252 2 5 3" xfId="21736" xr:uid="{00000000-0005-0000-0000-0000E8540000}"/>
    <cellStyle name="Normal 252 2 6" xfId="21737" xr:uid="{00000000-0005-0000-0000-0000E9540000}"/>
    <cellStyle name="Normal 252 2 6 2" xfId="21738" xr:uid="{00000000-0005-0000-0000-0000EA540000}"/>
    <cellStyle name="Normal 252 2 6 2 2" xfId="21739" xr:uid="{00000000-0005-0000-0000-0000EB540000}"/>
    <cellStyle name="Normal 252 2 6 3" xfId="21740" xr:uid="{00000000-0005-0000-0000-0000EC540000}"/>
    <cellStyle name="Normal 252 2 7" xfId="21741" xr:uid="{00000000-0005-0000-0000-0000ED540000}"/>
    <cellStyle name="Normal 252 3" xfId="21742" xr:uid="{00000000-0005-0000-0000-0000EE540000}"/>
    <cellStyle name="Normal 252 3 2" xfId="21743" xr:uid="{00000000-0005-0000-0000-0000EF540000}"/>
    <cellStyle name="Normal 252 3 2 2" xfId="21744" xr:uid="{00000000-0005-0000-0000-0000F0540000}"/>
    <cellStyle name="Normal 252 3 3" xfId="21745" xr:uid="{00000000-0005-0000-0000-0000F1540000}"/>
    <cellStyle name="Normal 252 3 3 2" xfId="21746" xr:uid="{00000000-0005-0000-0000-0000F2540000}"/>
    <cellStyle name="Normal 252 3 3 2 2" xfId="21747" xr:uid="{00000000-0005-0000-0000-0000F3540000}"/>
    <cellStyle name="Normal 252 3 3 3" xfId="21748" xr:uid="{00000000-0005-0000-0000-0000F4540000}"/>
    <cellStyle name="Normal 252 3 4" xfId="21749" xr:uid="{00000000-0005-0000-0000-0000F5540000}"/>
    <cellStyle name="Normal 252 3 4 2" xfId="21750" xr:uid="{00000000-0005-0000-0000-0000F6540000}"/>
    <cellStyle name="Normal 252 3 4 2 2" xfId="21751" xr:uid="{00000000-0005-0000-0000-0000F7540000}"/>
    <cellStyle name="Normal 252 3 4 3" xfId="21752" xr:uid="{00000000-0005-0000-0000-0000F8540000}"/>
    <cellStyle name="Normal 252 3 5" xfId="21753" xr:uid="{00000000-0005-0000-0000-0000F9540000}"/>
    <cellStyle name="Normal 252 4" xfId="21754" xr:uid="{00000000-0005-0000-0000-0000FA540000}"/>
    <cellStyle name="Normal 252 4 2" xfId="21755" xr:uid="{00000000-0005-0000-0000-0000FB540000}"/>
    <cellStyle name="Normal 252 4 2 2" xfId="21756" xr:uid="{00000000-0005-0000-0000-0000FC540000}"/>
    <cellStyle name="Normal 252 4 2 2 2" xfId="21757" xr:uid="{00000000-0005-0000-0000-0000FD540000}"/>
    <cellStyle name="Normal 252 4 2 3" xfId="21758" xr:uid="{00000000-0005-0000-0000-0000FE540000}"/>
    <cellStyle name="Normal 252 4 2 3 2" xfId="21759" xr:uid="{00000000-0005-0000-0000-0000FF540000}"/>
    <cellStyle name="Normal 252 4 2 3 2 2" xfId="21760" xr:uid="{00000000-0005-0000-0000-000000550000}"/>
    <cellStyle name="Normal 252 4 2 3 3" xfId="21761" xr:uid="{00000000-0005-0000-0000-000001550000}"/>
    <cellStyle name="Normal 252 4 2 4" xfId="21762" xr:uid="{00000000-0005-0000-0000-000002550000}"/>
    <cellStyle name="Normal 252 4 3" xfId="21763" xr:uid="{00000000-0005-0000-0000-000003550000}"/>
    <cellStyle name="Normal 252 4 3 2" xfId="21764" xr:uid="{00000000-0005-0000-0000-000004550000}"/>
    <cellStyle name="Normal 252 4 3 2 2" xfId="21765" xr:uid="{00000000-0005-0000-0000-000005550000}"/>
    <cellStyle name="Normal 252 4 3 3" xfId="21766" xr:uid="{00000000-0005-0000-0000-000006550000}"/>
    <cellStyle name="Normal 252 4 4" xfId="21767" xr:uid="{00000000-0005-0000-0000-000007550000}"/>
    <cellStyle name="Normal 252 4 4 2" xfId="21768" xr:uid="{00000000-0005-0000-0000-000008550000}"/>
    <cellStyle name="Normal 252 4 4 2 2" xfId="21769" xr:uid="{00000000-0005-0000-0000-000009550000}"/>
    <cellStyle name="Normal 252 4 4 3" xfId="21770" xr:uid="{00000000-0005-0000-0000-00000A550000}"/>
    <cellStyle name="Normal 252 4 5" xfId="21771" xr:uid="{00000000-0005-0000-0000-00000B550000}"/>
    <cellStyle name="Normal 252 4 5 2" xfId="21772" xr:uid="{00000000-0005-0000-0000-00000C550000}"/>
    <cellStyle name="Normal 252 4 5 2 2" xfId="21773" xr:uid="{00000000-0005-0000-0000-00000D550000}"/>
    <cellStyle name="Normal 252 4 5 3" xfId="21774" xr:uid="{00000000-0005-0000-0000-00000E550000}"/>
    <cellStyle name="Normal 252 4 6" xfId="21775" xr:uid="{00000000-0005-0000-0000-00000F550000}"/>
    <cellStyle name="Normal 252 5" xfId="21776" xr:uid="{00000000-0005-0000-0000-000010550000}"/>
    <cellStyle name="Normal 252 5 2" xfId="21777" xr:uid="{00000000-0005-0000-0000-000011550000}"/>
    <cellStyle name="Normal 252 5 2 2" xfId="21778" xr:uid="{00000000-0005-0000-0000-000012550000}"/>
    <cellStyle name="Normal 252 5 3" xfId="21779" xr:uid="{00000000-0005-0000-0000-000013550000}"/>
    <cellStyle name="Normal 252 6" xfId="21780" xr:uid="{00000000-0005-0000-0000-000014550000}"/>
    <cellStyle name="Normal 252 6 2" xfId="21781" xr:uid="{00000000-0005-0000-0000-000015550000}"/>
    <cellStyle name="Normal 252 6 2 2" xfId="21782" xr:uid="{00000000-0005-0000-0000-000016550000}"/>
    <cellStyle name="Normal 252 6 3" xfId="21783" xr:uid="{00000000-0005-0000-0000-000017550000}"/>
    <cellStyle name="Normal 252 7" xfId="21784" xr:uid="{00000000-0005-0000-0000-000018550000}"/>
    <cellStyle name="Normal 252 7 2" xfId="21785" xr:uid="{00000000-0005-0000-0000-000019550000}"/>
    <cellStyle name="Normal 252 7 2 2" xfId="21786" xr:uid="{00000000-0005-0000-0000-00001A550000}"/>
    <cellStyle name="Normal 252 7 3" xfId="21787" xr:uid="{00000000-0005-0000-0000-00001B550000}"/>
    <cellStyle name="Normal 252 8" xfId="21788" xr:uid="{00000000-0005-0000-0000-00001C550000}"/>
    <cellStyle name="Normal 253" xfId="21789" xr:uid="{00000000-0005-0000-0000-00001D550000}"/>
    <cellStyle name="Normal 253 2" xfId="21790" xr:uid="{00000000-0005-0000-0000-00001E550000}"/>
    <cellStyle name="Normal 253 2 2" xfId="21791" xr:uid="{00000000-0005-0000-0000-00001F550000}"/>
    <cellStyle name="Normal 253 2 2 2" xfId="21792" xr:uid="{00000000-0005-0000-0000-000020550000}"/>
    <cellStyle name="Normal 253 2 2 2 2" xfId="21793" xr:uid="{00000000-0005-0000-0000-000021550000}"/>
    <cellStyle name="Normal 253 2 2 3" xfId="21794" xr:uid="{00000000-0005-0000-0000-000022550000}"/>
    <cellStyle name="Normal 253 2 2 3 2" xfId="21795" xr:uid="{00000000-0005-0000-0000-000023550000}"/>
    <cellStyle name="Normal 253 2 2 3 2 2" xfId="21796" xr:uid="{00000000-0005-0000-0000-000024550000}"/>
    <cellStyle name="Normal 253 2 2 3 3" xfId="21797" xr:uid="{00000000-0005-0000-0000-000025550000}"/>
    <cellStyle name="Normal 253 2 2 4" xfId="21798" xr:uid="{00000000-0005-0000-0000-000026550000}"/>
    <cellStyle name="Normal 253 2 2 4 2" xfId="21799" xr:uid="{00000000-0005-0000-0000-000027550000}"/>
    <cellStyle name="Normal 253 2 2 4 2 2" xfId="21800" xr:uid="{00000000-0005-0000-0000-000028550000}"/>
    <cellStyle name="Normal 253 2 2 4 3" xfId="21801" xr:uid="{00000000-0005-0000-0000-000029550000}"/>
    <cellStyle name="Normal 253 2 2 5" xfId="21802" xr:uid="{00000000-0005-0000-0000-00002A550000}"/>
    <cellStyle name="Normal 253 2 3" xfId="21803" xr:uid="{00000000-0005-0000-0000-00002B550000}"/>
    <cellStyle name="Normal 253 2 3 2" xfId="21804" xr:uid="{00000000-0005-0000-0000-00002C550000}"/>
    <cellStyle name="Normal 253 2 3 2 2" xfId="21805" xr:uid="{00000000-0005-0000-0000-00002D550000}"/>
    <cellStyle name="Normal 253 2 3 2 2 2" xfId="21806" xr:uid="{00000000-0005-0000-0000-00002E550000}"/>
    <cellStyle name="Normal 253 2 3 2 3" xfId="21807" xr:uid="{00000000-0005-0000-0000-00002F550000}"/>
    <cellStyle name="Normal 253 2 3 2 3 2" xfId="21808" xr:uid="{00000000-0005-0000-0000-000030550000}"/>
    <cellStyle name="Normal 253 2 3 2 3 2 2" xfId="21809" xr:uid="{00000000-0005-0000-0000-000031550000}"/>
    <cellStyle name="Normal 253 2 3 2 3 3" xfId="21810" xr:uid="{00000000-0005-0000-0000-000032550000}"/>
    <cellStyle name="Normal 253 2 3 2 4" xfId="21811" xr:uid="{00000000-0005-0000-0000-000033550000}"/>
    <cellStyle name="Normal 253 2 3 3" xfId="21812" xr:uid="{00000000-0005-0000-0000-000034550000}"/>
    <cellStyle name="Normal 253 2 3 3 2" xfId="21813" xr:uid="{00000000-0005-0000-0000-000035550000}"/>
    <cellStyle name="Normal 253 2 3 3 2 2" xfId="21814" xr:uid="{00000000-0005-0000-0000-000036550000}"/>
    <cellStyle name="Normal 253 2 3 3 3" xfId="21815" xr:uid="{00000000-0005-0000-0000-000037550000}"/>
    <cellStyle name="Normal 253 2 3 4" xfId="21816" xr:uid="{00000000-0005-0000-0000-000038550000}"/>
    <cellStyle name="Normal 253 2 3 4 2" xfId="21817" xr:uid="{00000000-0005-0000-0000-000039550000}"/>
    <cellStyle name="Normal 253 2 3 4 2 2" xfId="21818" xr:uid="{00000000-0005-0000-0000-00003A550000}"/>
    <cellStyle name="Normal 253 2 3 4 3" xfId="21819" xr:uid="{00000000-0005-0000-0000-00003B550000}"/>
    <cellStyle name="Normal 253 2 3 5" xfId="21820" xr:uid="{00000000-0005-0000-0000-00003C550000}"/>
    <cellStyle name="Normal 253 2 3 5 2" xfId="21821" xr:uid="{00000000-0005-0000-0000-00003D550000}"/>
    <cellStyle name="Normal 253 2 3 5 2 2" xfId="21822" xr:uid="{00000000-0005-0000-0000-00003E550000}"/>
    <cellStyle name="Normal 253 2 3 5 3" xfId="21823" xr:uid="{00000000-0005-0000-0000-00003F550000}"/>
    <cellStyle name="Normal 253 2 3 6" xfId="21824" xr:uid="{00000000-0005-0000-0000-000040550000}"/>
    <cellStyle name="Normal 253 2 4" xfId="21825" xr:uid="{00000000-0005-0000-0000-000041550000}"/>
    <cellStyle name="Normal 253 2 4 2" xfId="21826" xr:uid="{00000000-0005-0000-0000-000042550000}"/>
    <cellStyle name="Normal 253 2 4 2 2" xfId="21827" xr:uid="{00000000-0005-0000-0000-000043550000}"/>
    <cellStyle name="Normal 253 2 4 3" xfId="21828" xr:uid="{00000000-0005-0000-0000-000044550000}"/>
    <cellStyle name="Normal 253 2 5" xfId="21829" xr:uid="{00000000-0005-0000-0000-000045550000}"/>
    <cellStyle name="Normal 253 2 5 2" xfId="21830" xr:uid="{00000000-0005-0000-0000-000046550000}"/>
    <cellStyle name="Normal 253 2 5 2 2" xfId="21831" xr:uid="{00000000-0005-0000-0000-000047550000}"/>
    <cellStyle name="Normal 253 2 5 3" xfId="21832" xr:uid="{00000000-0005-0000-0000-000048550000}"/>
    <cellStyle name="Normal 253 2 6" xfId="21833" xr:uid="{00000000-0005-0000-0000-000049550000}"/>
    <cellStyle name="Normal 253 2 6 2" xfId="21834" xr:uid="{00000000-0005-0000-0000-00004A550000}"/>
    <cellStyle name="Normal 253 2 6 2 2" xfId="21835" xr:uid="{00000000-0005-0000-0000-00004B550000}"/>
    <cellStyle name="Normal 253 2 6 3" xfId="21836" xr:uid="{00000000-0005-0000-0000-00004C550000}"/>
    <cellStyle name="Normal 253 2 7" xfId="21837" xr:uid="{00000000-0005-0000-0000-00004D550000}"/>
    <cellStyle name="Normal 253 3" xfId="21838" xr:uid="{00000000-0005-0000-0000-00004E550000}"/>
    <cellStyle name="Normal 253 3 2" xfId="21839" xr:uid="{00000000-0005-0000-0000-00004F550000}"/>
    <cellStyle name="Normal 253 3 2 2" xfId="21840" xr:uid="{00000000-0005-0000-0000-000050550000}"/>
    <cellStyle name="Normal 253 3 3" xfId="21841" xr:uid="{00000000-0005-0000-0000-000051550000}"/>
    <cellStyle name="Normal 253 3 3 2" xfId="21842" xr:uid="{00000000-0005-0000-0000-000052550000}"/>
    <cellStyle name="Normal 253 3 3 2 2" xfId="21843" xr:uid="{00000000-0005-0000-0000-000053550000}"/>
    <cellStyle name="Normal 253 3 3 3" xfId="21844" xr:uid="{00000000-0005-0000-0000-000054550000}"/>
    <cellStyle name="Normal 253 3 4" xfId="21845" xr:uid="{00000000-0005-0000-0000-000055550000}"/>
    <cellStyle name="Normal 253 3 4 2" xfId="21846" xr:uid="{00000000-0005-0000-0000-000056550000}"/>
    <cellStyle name="Normal 253 3 4 2 2" xfId="21847" xr:uid="{00000000-0005-0000-0000-000057550000}"/>
    <cellStyle name="Normal 253 3 4 3" xfId="21848" xr:uid="{00000000-0005-0000-0000-000058550000}"/>
    <cellStyle name="Normal 253 3 5" xfId="21849" xr:uid="{00000000-0005-0000-0000-000059550000}"/>
    <cellStyle name="Normal 253 4" xfId="21850" xr:uid="{00000000-0005-0000-0000-00005A550000}"/>
    <cellStyle name="Normal 253 4 2" xfId="21851" xr:uid="{00000000-0005-0000-0000-00005B550000}"/>
    <cellStyle name="Normal 253 4 2 2" xfId="21852" xr:uid="{00000000-0005-0000-0000-00005C550000}"/>
    <cellStyle name="Normal 253 4 2 2 2" xfId="21853" xr:uid="{00000000-0005-0000-0000-00005D550000}"/>
    <cellStyle name="Normal 253 4 2 3" xfId="21854" xr:uid="{00000000-0005-0000-0000-00005E550000}"/>
    <cellStyle name="Normal 253 4 2 3 2" xfId="21855" xr:uid="{00000000-0005-0000-0000-00005F550000}"/>
    <cellStyle name="Normal 253 4 2 3 2 2" xfId="21856" xr:uid="{00000000-0005-0000-0000-000060550000}"/>
    <cellStyle name="Normal 253 4 2 3 3" xfId="21857" xr:uid="{00000000-0005-0000-0000-000061550000}"/>
    <cellStyle name="Normal 253 4 2 4" xfId="21858" xr:uid="{00000000-0005-0000-0000-000062550000}"/>
    <cellStyle name="Normal 253 4 3" xfId="21859" xr:uid="{00000000-0005-0000-0000-000063550000}"/>
    <cellStyle name="Normal 253 4 3 2" xfId="21860" xr:uid="{00000000-0005-0000-0000-000064550000}"/>
    <cellStyle name="Normal 253 4 3 2 2" xfId="21861" xr:uid="{00000000-0005-0000-0000-000065550000}"/>
    <cellStyle name="Normal 253 4 3 3" xfId="21862" xr:uid="{00000000-0005-0000-0000-000066550000}"/>
    <cellStyle name="Normal 253 4 4" xfId="21863" xr:uid="{00000000-0005-0000-0000-000067550000}"/>
    <cellStyle name="Normal 253 4 4 2" xfId="21864" xr:uid="{00000000-0005-0000-0000-000068550000}"/>
    <cellStyle name="Normal 253 4 4 2 2" xfId="21865" xr:uid="{00000000-0005-0000-0000-000069550000}"/>
    <cellStyle name="Normal 253 4 4 3" xfId="21866" xr:uid="{00000000-0005-0000-0000-00006A550000}"/>
    <cellStyle name="Normal 253 4 5" xfId="21867" xr:uid="{00000000-0005-0000-0000-00006B550000}"/>
    <cellStyle name="Normal 253 4 5 2" xfId="21868" xr:uid="{00000000-0005-0000-0000-00006C550000}"/>
    <cellStyle name="Normal 253 4 5 2 2" xfId="21869" xr:uid="{00000000-0005-0000-0000-00006D550000}"/>
    <cellStyle name="Normal 253 4 5 3" xfId="21870" xr:uid="{00000000-0005-0000-0000-00006E550000}"/>
    <cellStyle name="Normal 253 4 6" xfId="21871" xr:uid="{00000000-0005-0000-0000-00006F550000}"/>
    <cellStyle name="Normal 253 5" xfId="21872" xr:uid="{00000000-0005-0000-0000-000070550000}"/>
    <cellStyle name="Normal 253 5 2" xfId="21873" xr:uid="{00000000-0005-0000-0000-000071550000}"/>
    <cellStyle name="Normal 253 5 2 2" xfId="21874" xr:uid="{00000000-0005-0000-0000-000072550000}"/>
    <cellStyle name="Normal 253 5 3" xfId="21875" xr:uid="{00000000-0005-0000-0000-000073550000}"/>
    <cellStyle name="Normal 253 6" xfId="21876" xr:uid="{00000000-0005-0000-0000-000074550000}"/>
    <cellStyle name="Normal 253 6 2" xfId="21877" xr:uid="{00000000-0005-0000-0000-000075550000}"/>
    <cellStyle name="Normal 253 6 2 2" xfId="21878" xr:uid="{00000000-0005-0000-0000-000076550000}"/>
    <cellStyle name="Normal 253 6 3" xfId="21879" xr:uid="{00000000-0005-0000-0000-000077550000}"/>
    <cellStyle name="Normal 253 7" xfId="21880" xr:uid="{00000000-0005-0000-0000-000078550000}"/>
    <cellStyle name="Normal 253 7 2" xfId="21881" xr:uid="{00000000-0005-0000-0000-000079550000}"/>
    <cellStyle name="Normal 253 7 2 2" xfId="21882" xr:uid="{00000000-0005-0000-0000-00007A550000}"/>
    <cellStyle name="Normal 253 7 3" xfId="21883" xr:uid="{00000000-0005-0000-0000-00007B550000}"/>
    <cellStyle name="Normal 253 8" xfId="21884" xr:uid="{00000000-0005-0000-0000-00007C550000}"/>
    <cellStyle name="Normal 254" xfId="21885" xr:uid="{00000000-0005-0000-0000-00007D550000}"/>
    <cellStyle name="Normal 254 2" xfId="21886" xr:uid="{00000000-0005-0000-0000-00007E550000}"/>
    <cellStyle name="Normal 254 2 2" xfId="21887" xr:uid="{00000000-0005-0000-0000-00007F550000}"/>
    <cellStyle name="Normal 254 2 2 2" xfId="21888" xr:uid="{00000000-0005-0000-0000-000080550000}"/>
    <cellStyle name="Normal 254 2 2 2 2" xfId="21889" xr:uid="{00000000-0005-0000-0000-000081550000}"/>
    <cellStyle name="Normal 254 2 2 3" xfId="21890" xr:uid="{00000000-0005-0000-0000-000082550000}"/>
    <cellStyle name="Normal 254 2 2 3 2" xfId="21891" xr:uid="{00000000-0005-0000-0000-000083550000}"/>
    <cellStyle name="Normal 254 2 2 3 2 2" xfId="21892" xr:uid="{00000000-0005-0000-0000-000084550000}"/>
    <cellStyle name="Normal 254 2 2 3 3" xfId="21893" xr:uid="{00000000-0005-0000-0000-000085550000}"/>
    <cellStyle name="Normal 254 2 2 4" xfId="21894" xr:uid="{00000000-0005-0000-0000-000086550000}"/>
    <cellStyle name="Normal 254 2 2 4 2" xfId="21895" xr:uid="{00000000-0005-0000-0000-000087550000}"/>
    <cellStyle name="Normal 254 2 2 4 2 2" xfId="21896" xr:uid="{00000000-0005-0000-0000-000088550000}"/>
    <cellStyle name="Normal 254 2 2 4 3" xfId="21897" xr:uid="{00000000-0005-0000-0000-000089550000}"/>
    <cellStyle name="Normal 254 2 2 5" xfId="21898" xr:uid="{00000000-0005-0000-0000-00008A550000}"/>
    <cellStyle name="Normal 254 2 3" xfId="21899" xr:uid="{00000000-0005-0000-0000-00008B550000}"/>
    <cellStyle name="Normal 254 2 3 2" xfId="21900" xr:uid="{00000000-0005-0000-0000-00008C550000}"/>
    <cellStyle name="Normal 254 2 3 2 2" xfId="21901" xr:uid="{00000000-0005-0000-0000-00008D550000}"/>
    <cellStyle name="Normal 254 2 3 2 2 2" xfId="21902" xr:uid="{00000000-0005-0000-0000-00008E550000}"/>
    <cellStyle name="Normal 254 2 3 2 3" xfId="21903" xr:uid="{00000000-0005-0000-0000-00008F550000}"/>
    <cellStyle name="Normal 254 2 3 2 3 2" xfId="21904" xr:uid="{00000000-0005-0000-0000-000090550000}"/>
    <cellStyle name="Normal 254 2 3 2 3 2 2" xfId="21905" xr:uid="{00000000-0005-0000-0000-000091550000}"/>
    <cellStyle name="Normal 254 2 3 2 3 3" xfId="21906" xr:uid="{00000000-0005-0000-0000-000092550000}"/>
    <cellStyle name="Normal 254 2 3 2 4" xfId="21907" xr:uid="{00000000-0005-0000-0000-000093550000}"/>
    <cellStyle name="Normal 254 2 3 3" xfId="21908" xr:uid="{00000000-0005-0000-0000-000094550000}"/>
    <cellStyle name="Normal 254 2 3 3 2" xfId="21909" xr:uid="{00000000-0005-0000-0000-000095550000}"/>
    <cellStyle name="Normal 254 2 3 3 2 2" xfId="21910" xr:uid="{00000000-0005-0000-0000-000096550000}"/>
    <cellStyle name="Normal 254 2 3 3 3" xfId="21911" xr:uid="{00000000-0005-0000-0000-000097550000}"/>
    <cellStyle name="Normal 254 2 3 4" xfId="21912" xr:uid="{00000000-0005-0000-0000-000098550000}"/>
    <cellStyle name="Normal 254 2 3 4 2" xfId="21913" xr:uid="{00000000-0005-0000-0000-000099550000}"/>
    <cellStyle name="Normal 254 2 3 4 2 2" xfId="21914" xr:uid="{00000000-0005-0000-0000-00009A550000}"/>
    <cellStyle name="Normal 254 2 3 4 3" xfId="21915" xr:uid="{00000000-0005-0000-0000-00009B550000}"/>
    <cellStyle name="Normal 254 2 3 5" xfId="21916" xr:uid="{00000000-0005-0000-0000-00009C550000}"/>
    <cellStyle name="Normal 254 2 3 5 2" xfId="21917" xr:uid="{00000000-0005-0000-0000-00009D550000}"/>
    <cellStyle name="Normal 254 2 3 5 2 2" xfId="21918" xr:uid="{00000000-0005-0000-0000-00009E550000}"/>
    <cellStyle name="Normal 254 2 3 5 3" xfId="21919" xr:uid="{00000000-0005-0000-0000-00009F550000}"/>
    <cellStyle name="Normal 254 2 3 6" xfId="21920" xr:uid="{00000000-0005-0000-0000-0000A0550000}"/>
    <cellStyle name="Normal 254 2 4" xfId="21921" xr:uid="{00000000-0005-0000-0000-0000A1550000}"/>
    <cellStyle name="Normal 254 2 4 2" xfId="21922" xr:uid="{00000000-0005-0000-0000-0000A2550000}"/>
    <cellStyle name="Normal 254 2 4 2 2" xfId="21923" xr:uid="{00000000-0005-0000-0000-0000A3550000}"/>
    <cellStyle name="Normal 254 2 4 3" xfId="21924" xr:uid="{00000000-0005-0000-0000-0000A4550000}"/>
    <cellStyle name="Normal 254 2 5" xfId="21925" xr:uid="{00000000-0005-0000-0000-0000A5550000}"/>
    <cellStyle name="Normal 254 2 5 2" xfId="21926" xr:uid="{00000000-0005-0000-0000-0000A6550000}"/>
    <cellStyle name="Normal 254 2 5 2 2" xfId="21927" xr:uid="{00000000-0005-0000-0000-0000A7550000}"/>
    <cellStyle name="Normal 254 2 5 3" xfId="21928" xr:uid="{00000000-0005-0000-0000-0000A8550000}"/>
    <cellStyle name="Normal 254 2 6" xfId="21929" xr:uid="{00000000-0005-0000-0000-0000A9550000}"/>
    <cellStyle name="Normal 254 2 6 2" xfId="21930" xr:uid="{00000000-0005-0000-0000-0000AA550000}"/>
    <cellStyle name="Normal 254 2 6 2 2" xfId="21931" xr:uid="{00000000-0005-0000-0000-0000AB550000}"/>
    <cellStyle name="Normal 254 2 6 3" xfId="21932" xr:uid="{00000000-0005-0000-0000-0000AC550000}"/>
    <cellStyle name="Normal 254 2 7" xfId="21933" xr:uid="{00000000-0005-0000-0000-0000AD550000}"/>
    <cellStyle name="Normal 254 3" xfId="21934" xr:uid="{00000000-0005-0000-0000-0000AE550000}"/>
    <cellStyle name="Normal 254 3 2" xfId="21935" xr:uid="{00000000-0005-0000-0000-0000AF550000}"/>
    <cellStyle name="Normal 254 3 2 2" xfId="21936" xr:uid="{00000000-0005-0000-0000-0000B0550000}"/>
    <cellStyle name="Normal 254 3 3" xfId="21937" xr:uid="{00000000-0005-0000-0000-0000B1550000}"/>
    <cellStyle name="Normal 254 3 3 2" xfId="21938" xr:uid="{00000000-0005-0000-0000-0000B2550000}"/>
    <cellStyle name="Normal 254 3 3 2 2" xfId="21939" xr:uid="{00000000-0005-0000-0000-0000B3550000}"/>
    <cellStyle name="Normal 254 3 3 3" xfId="21940" xr:uid="{00000000-0005-0000-0000-0000B4550000}"/>
    <cellStyle name="Normal 254 3 4" xfId="21941" xr:uid="{00000000-0005-0000-0000-0000B5550000}"/>
    <cellStyle name="Normal 254 3 4 2" xfId="21942" xr:uid="{00000000-0005-0000-0000-0000B6550000}"/>
    <cellStyle name="Normal 254 3 4 2 2" xfId="21943" xr:uid="{00000000-0005-0000-0000-0000B7550000}"/>
    <cellStyle name="Normal 254 3 4 3" xfId="21944" xr:uid="{00000000-0005-0000-0000-0000B8550000}"/>
    <cellStyle name="Normal 254 3 5" xfId="21945" xr:uid="{00000000-0005-0000-0000-0000B9550000}"/>
    <cellStyle name="Normal 254 4" xfId="21946" xr:uid="{00000000-0005-0000-0000-0000BA550000}"/>
    <cellStyle name="Normal 254 4 2" xfId="21947" xr:uid="{00000000-0005-0000-0000-0000BB550000}"/>
    <cellStyle name="Normal 254 4 2 2" xfId="21948" xr:uid="{00000000-0005-0000-0000-0000BC550000}"/>
    <cellStyle name="Normal 254 4 2 2 2" xfId="21949" xr:uid="{00000000-0005-0000-0000-0000BD550000}"/>
    <cellStyle name="Normal 254 4 2 3" xfId="21950" xr:uid="{00000000-0005-0000-0000-0000BE550000}"/>
    <cellStyle name="Normal 254 4 2 3 2" xfId="21951" xr:uid="{00000000-0005-0000-0000-0000BF550000}"/>
    <cellStyle name="Normal 254 4 2 3 2 2" xfId="21952" xr:uid="{00000000-0005-0000-0000-0000C0550000}"/>
    <cellStyle name="Normal 254 4 2 3 3" xfId="21953" xr:uid="{00000000-0005-0000-0000-0000C1550000}"/>
    <cellStyle name="Normal 254 4 2 4" xfId="21954" xr:uid="{00000000-0005-0000-0000-0000C2550000}"/>
    <cellStyle name="Normal 254 4 3" xfId="21955" xr:uid="{00000000-0005-0000-0000-0000C3550000}"/>
    <cellStyle name="Normal 254 4 3 2" xfId="21956" xr:uid="{00000000-0005-0000-0000-0000C4550000}"/>
    <cellStyle name="Normal 254 4 3 2 2" xfId="21957" xr:uid="{00000000-0005-0000-0000-0000C5550000}"/>
    <cellStyle name="Normal 254 4 3 3" xfId="21958" xr:uid="{00000000-0005-0000-0000-0000C6550000}"/>
    <cellStyle name="Normal 254 4 4" xfId="21959" xr:uid="{00000000-0005-0000-0000-0000C7550000}"/>
    <cellStyle name="Normal 254 4 4 2" xfId="21960" xr:uid="{00000000-0005-0000-0000-0000C8550000}"/>
    <cellStyle name="Normal 254 4 4 2 2" xfId="21961" xr:uid="{00000000-0005-0000-0000-0000C9550000}"/>
    <cellStyle name="Normal 254 4 4 3" xfId="21962" xr:uid="{00000000-0005-0000-0000-0000CA550000}"/>
    <cellStyle name="Normal 254 4 5" xfId="21963" xr:uid="{00000000-0005-0000-0000-0000CB550000}"/>
    <cellStyle name="Normal 254 4 5 2" xfId="21964" xr:uid="{00000000-0005-0000-0000-0000CC550000}"/>
    <cellStyle name="Normal 254 4 5 2 2" xfId="21965" xr:uid="{00000000-0005-0000-0000-0000CD550000}"/>
    <cellStyle name="Normal 254 4 5 3" xfId="21966" xr:uid="{00000000-0005-0000-0000-0000CE550000}"/>
    <cellStyle name="Normal 254 4 6" xfId="21967" xr:uid="{00000000-0005-0000-0000-0000CF550000}"/>
    <cellStyle name="Normal 254 5" xfId="21968" xr:uid="{00000000-0005-0000-0000-0000D0550000}"/>
    <cellStyle name="Normal 254 5 2" xfId="21969" xr:uid="{00000000-0005-0000-0000-0000D1550000}"/>
    <cellStyle name="Normal 254 5 2 2" xfId="21970" xr:uid="{00000000-0005-0000-0000-0000D2550000}"/>
    <cellStyle name="Normal 254 5 3" xfId="21971" xr:uid="{00000000-0005-0000-0000-0000D3550000}"/>
    <cellStyle name="Normal 254 6" xfId="21972" xr:uid="{00000000-0005-0000-0000-0000D4550000}"/>
    <cellStyle name="Normal 254 6 2" xfId="21973" xr:uid="{00000000-0005-0000-0000-0000D5550000}"/>
    <cellStyle name="Normal 254 6 2 2" xfId="21974" xr:uid="{00000000-0005-0000-0000-0000D6550000}"/>
    <cellStyle name="Normal 254 6 3" xfId="21975" xr:uid="{00000000-0005-0000-0000-0000D7550000}"/>
    <cellStyle name="Normal 254 7" xfId="21976" xr:uid="{00000000-0005-0000-0000-0000D8550000}"/>
    <cellStyle name="Normal 254 7 2" xfId="21977" xr:uid="{00000000-0005-0000-0000-0000D9550000}"/>
    <cellStyle name="Normal 254 7 2 2" xfId="21978" xr:uid="{00000000-0005-0000-0000-0000DA550000}"/>
    <cellStyle name="Normal 254 7 3" xfId="21979" xr:uid="{00000000-0005-0000-0000-0000DB550000}"/>
    <cellStyle name="Normal 254 8" xfId="21980" xr:uid="{00000000-0005-0000-0000-0000DC550000}"/>
    <cellStyle name="Normal 255" xfId="21981" xr:uid="{00000000-0005-0000-0000-0000DD550000}"/>
    <cellStyle name="Normal 255 2" xfId="21982" xr:uid="{00000000-0005-0000-0000-0000DE550000}"/>
    <cellStyle name="Normal 255 2 2" xfId="21983" xr:uid="{00000000-0005-0000-0000-0000DF550000}"/>
    <cellStyle name="Normal 255 2 2 2" xfId="21984" xr:uid="{00000000-0005-0000-0000-0000E0550000}"/>
    <cellStyle name="Normal 255 2 2 2 2" xfId="21985" xr:uid="{00000000-0005-0000-0000-0000E1550000}"/>
    <cellStyle name="Normal 255 2 2 3" xfId="21986" xr:uid="{00000000-0005-0000-0000-0000E2550000}"/>
    <cellStyle name="Normal 255 2 2 3 2" xfId="21987" xr:uid="{00000000-0005-0000-0000-0000E3550000}"/>
    <cellStyle name="Normal 255 2 2 3 2 2" xfId="21988" xr:uid="{00000000-0005-0000-0000-0000E4550000}"/>
    <cellStyle name="Normal 255 2 2 3 3" xfId="21989" xr:uid="{00000000-0005-0000-0000-0000E5550000}"/>
    <cellStyle name="Normal 255 2 2 4" xfId="21990" xr:uid="{00000000-0005-0000-0000-0000E6550000}"/>
    <cellStyle name="Normal 255 2 2 4 2" xfId="21991" xr:uid="{00000000-0005-0000-0000-0000E7550000}"/>
    <cellStyle name="Normal 255 2 2 4 2 2" xfId="21992" xr:uid="{00000000-0005-0000-0000-0000E8550000}"/>
    <cellStyle name="Normal 255 2 2 4 3" xfId="21993" xr:uid="{00000000-0005-0000-0000-0000E9550000}"/>
    <cellStyle name="Normal 255 2 2 5" xfId="21994" xr:uid="{00000000-0005-0000-0000-0000EA550000}"/>
    <cellStyle name="Normal 255 2 3" xfId="21995" xr:uid="{00000000-0005-0000-0000-0000EB550000}"/>
    <cellStyle name="Normal 255 2 3 2" xfId="21996" xr:uid="{00000000-0005-0000-0000-0000EC550000}"/>
    <cellStyle name="Normal 255 2 3 2 2" xfId="21997" xr:uid="{00000000-0005-0000-0000-0000ED550000}"/>
    <cellStyle name="Normal 255 2 3 2 2 2" xfId="21998" xr:uid="{00000000-0005-0000-0000-0000EE550000}"/>
    <cellStyle name="Normal 255 2 3 2 3" xfId="21999" xr:uid="{00000000-0005-0000-0000-0000EF550000}"/>
    <cellStyle name="Normal 255 2 3 2 3 2" xfId="22000" xr:uid="{00000000-0005-0000-0000-0000F0550000}"/>
    <cellStyle name="Normal 255 2 3 2 3 2 2" xfId="22001" xr:uid="{00000000-0005-0000-0000-0000F1550000}"/>
    <cellStyle name="Normal 255 2 3 2 3 3" xfId="22002" xr:uid="{00000000-0005-0000-0000-0000F2550000}"/>
    <cellStyle name="Normal 255 2 3 2 4" xfId="22003" xr:uid="{00000000-0005-0000-0000-0000F3550000}"/>
    <cellStyle name="Normal 255 2 3 3" xfId="22004" xr:uid="{00000000-0005-0000-0000-0000F4550000}"/>
    <cellStyle name="Normal 255 2 3 3 2" xfId="22005" xr:uid="{00000000-0005-0000-0000-0000F5550000}"/>
    <cellStyle name="Normal 255 2 3 3 2 2" xfId="22006" xr:uid="{00000000-0005-0000-0000-0000F6550000}"/>
    <cellStyle name="Normal 255 2 3 3 3" xfId="22007" xr:uid="{00000000-0005-0000-0000-0000F7550000}"/>
    <cellStyle name="Normal 255 2 3 4" xfId="22008" xr:uid="{00000000-0005-0000-0000-0000F8550000}"/>
    <cellStyle name="Normal 255 2 3 4 2" xfId="22009" xr:uid="{00000000-0005-0000-0000-0000F9550000}"/>
    <cellStyle name="Normal 255 2 3 4 2 2" xfId="22010" xr:uid="{00000000-0005-0000-0000-0000FA550000}"/>
    <cellStyle name="Normal 255 2 3 4 3" xfId="22011" xr:uid="{00000000-0005-0000-0000-0000FB550000}"/>
    <cellStyle name="Normal 255 2 3 5" xfId="22012" xr:uid="{00000000-0005-0000-0000-0000FC550000}"/>
    <cellStyle name="Normal 255 2 3 5 2" xfId="22013" xr:uid="{00000000-0005-0000-0000-0000FD550000}"/>
    <cellStyle name="Normal 255 2 3 5 2 2" xfId="22014" xr:uid="{00000000-0005-0000-0000-0000FE550000}"/>
    <cellStyle name="Normal 255 2 3 5 3" xfId="22015" xr:uid="{00000000-0005-0000-0000-0000FF550000}"/>
    <cellStyle name="Normal 255 2 3 6" xfId="22016" xr:uid="{00000000-0005-0000-0000-000000560000}"/>
    <cellStyle name="Normal 255 2 4" xfId="22017" xr:uid="{00000000-0005-0000-0000-000001560000}"/>
    <cellStyle name="Normal 255 2 4 2" xfId="22018" xr:uid="{00000000-0005-0000-0000-000002560000}"/>
    <cellStyle name="Normal 255 2 4 2 2" xfId="22019" xr:uid="{00000000-0005-0000-0000-000003560000}"/>
    <cellStyle name="Normal 255 2 4 3" xfId="22020" xr:uid="{00000000-0005-0000-0000-000004560000}"/>
    <cellStyle name="Normal 255 2 5" xfId="22021" xr:uid="{00000000-0005-0000-0000-000005560000}"/>
    <cellStyle name="Normal 255 2 5 2" xfId="22022" xr:uid="{00000000-0005-0000-0000-000006560000}"/>
    <cellStyle name="Normal 255 2 5 2 2" xfId="22023" xr:uid="{00000000-0005-0000-0000-000007560000}"/>
    <cellStyle name="Normal 255 2 5 3" xfId="22024" xr:uid="{00000000-0005-0000-0000-000008560000}"/>
    <cellStyle name="Normal 255 2 6" xfId="22025" xr:uid="{00000000-0005-0000-0000-000009560000}"/>
    <cellStyle name="Normal 255 2 6 2" xfId="22026" xr:uid="{00000000-0005-0000-0000-00000A560000}"/>
    <cellStyle name="Normal 255 2 6 2 2" xfId="22027" xr:uid="{00000000-0005-0000-0000-00000B560000}"/>
    <cellStyle name="Normal 255 2 6 3" xfId="22028" xr:uid="{00000000-0005-0000-0000-00000C560000}"/>
    <cellStyle name="Normal 255 2 7" xfId="22029" xr:uid="{00000000-0005-0000-0000-00000D560000}"/>
    <cellStyle name="Normal 255 3" xfId="22030" xr:uid="{00000000-0005-0000-0000-00000E560000}"/>
    <cellStyle name="Normal 255 3 2" xfId="22031" xr:uid="{00000000-0005-0000-0000-00000F560000}"/>
    <cellStyle name="Normal 255 3 2 2" xfId="22032" xr:uid="{00000000-0005-0000-0000-000010560000}"/>
    <cellStyle name="Normal 255 3 3" xfId="22033" xr:uid="{00000000-0005-0000-0000-000011560000}"/>
    <cellStyle name="Normal 255 3 3 2" xfId="22034" xr:uid="{00000000-0005-0000-0000-000012560000}"/>
    <cellStyle name="Normal 255 3 3 2 2" xfId="22035" xr:uid="{00000000-0005-0000-0000-000013560000}"/>
    <cellStyle name="Normal 255 3 3 3" xfId="22036" xr:uid="{00000000-0005-0000-0000-000014560000}"/>
    <cellStyle name="Normal 255 3 4" xfId="22037" xr:uid="{00000000-0005-0000-0000-000015560000}"/>
    <cellStyle name="Normal 255 3 4 2" xfId="22038" xr:uid="{00000000-0005-0000-0000-000016560000}"/>
    <cellStyle name="Normal 255 3 4 2 2" xfId="22039" xr:uid="{00000000-0005-0000-0000-000017560000}"/>
    <cellStyle name="Normal 255 3 4 3" xfId="22040" xr:uid="{00000000-0005-0000-0000-000018560000}"/>
    <cellStyle name="Normal 255 3 5" xfId="22041" xr:uid="{00000000-0005-0000-0000-000019560000}"/>
    <cellStyle name="Normal 255 4" xfId="22042" xr:uid="{00000000-0005-0000-0000-00001A560000}"/>
    <cellStyle name="Normal 255 4 2" xfId="22043" xr:uid="{00000000-0005-0000-0000-00001B560000}"/>
    <cellStyle name="Normal 255 4 2 2" xfId="22044" xr:uid="{00000000-0005-0000-0000-00001C560000}"/>
    <cellStyle name="Normal 255 4 2 2 2" xfId="22045" xr:uid="{00000000-0005-0000-0000-00001D560000}"/>
    <cellStyle name="Normal 255 4 2 3" xfId="22046" xr:uid="{00000000-0005-0000-0000-00001E560000}"/>
    <cellStyle name="Normal 255 4 2 3 2" xfId="22047" xr:uid="{00000000-0005-0000-0000-00001F560000}"/>
    <cellStyle name="Normal 255 4 2 3 2 2" xfId="22048" xr:uid="{00000000-0005-0000-0000-000020560000}"/>
    <cellStyle name="Normal 255 4 2 3 3" xfId="22049" xr:uid="{00000000-0005-0000-0000-000021560000}"/>
    <cellStyle name="Normal 255 4 2 4" xfId="22050" xr:uid="{00000000-0005-0000-0000-000022560000}"/>
    <cellStyle name="Normal 255 4 3" xfId="22051" xr:uid="{00000000-0005-0000-0000-000023560000}"/>
    <cellStyle name="Normal 255 4 3 2" xfId="22052" xr:uid="{00000000-0005-0000-0000-000024560000}"/>
    <cellStyle name="Normal 255 4 3 2 2" xfId="22053" xr:uid="{00000000-0005-0000-0000-000025560000}"/>
    <cellStyle name="Normal 255 4 3 3" xfId="22054" xr:uid="{00000000-0005-0000-0000-000026560000}"/>
    <cellStyle name="Normal 255 4 4" xfId="22055" xr:uid="{00000000-0005-0000-0000-000027560000}"/>
    <cellStyle name="Normal 255 4 4 2" xfId="22056" xr:uid="{00000000-0005-0000-0000-000028560000}"/>
    <cellStyle name="Normal 255 4 4 2 2" xfId="22057" xr:uid="{00000000-0005-0000-0000-000029560000}"/>
    <cellStyle name="Normal 255 4 4 3" xfId="22058" xr:uid="{00000000-0005-0000-0000-00002A560000}"/>
    <cellStyle name="Normal 255 4 5" xfId="22059" xr:uid="{00000000-0005-0000-0000-00002B560000}"/>
    <cellStyle name="Normal 255 4 5 2" xfId="22060" xr:uid="{00000000-0005-0000-0000-00002C560000}"/>
    <cellStyle name="Normal 255 4 5 2 2" xfId="22061" xr:uid="{00000000-0005-0000-0000-00002D560000}"/>
    <cellStyle name="Normal 255 4 5 3" xfId="22062" xr:uid="{00000000-0005-0000-0000-00002E560000}"/>
    <cellStyle name="Normal 255 4 6" xfId="22063" xr:uid="{00000000-0005-0000-0000-00002F560000}"/>
    <cellStyle name="Normal 255 5" xfId="22064" xr:uid="{00000000-0005-0000-0000-000030560000}"/>
    <cellStyle name="Normal 255 5 2" xfId="22065" xr:uid="{00000000-0005-0000-0000-000031560000}"/>
    <cellStyle name="Normal 255 5 2 2" xfId="22066" xr:uid="{00000000-0005-0000-0000-000032560000}"/>
    <cellStyle name="Normal 255 5 3" xfId="22067" xr:uid="{00000000-0005-0000-0000-000033560000}"/>
    <cellStyle name="Normal 255 6" xfId="22068" xr:uid="{00000000-0005-0000-0000-000034560000}"/>
    <cellStyle name="Normal 255 6 2" xfId="22069" xr:uid="{00000000-0005-0000-0000-000035560000}"/>
    <cellStyle name="Normal 255 6 2 2" xfId="22070" xr:uid="{00000000-0005-0000-0000-000036560000}"/>
    <cellStyle name="Normal 255 6 3" xfId="22071" xr:uid="{00000000-0005-0000-0000-000037560000}"/>
    <cellStyle name="Normal 255 7" xfId="22072" xr:uid="{00000000-0005-0000-0000-000038560000}"/>
    <cellStyle name="Normal 255 7 2" xfId="22073" xr:uid="{00000000-0005-0000-0000-000039560000}"/>
    <cellStyle name="Normal 255 7 2 2" xfId="22074" xr:uid="{00000000-0005-0000-0000-00003A560000}"/>
    <cellStyle name="Normal 255 7 3" xfId="22075" xr:uid="{00000000-0005-0000-0000-00003B560000}"/>
    <cellStyle name="Normal 255 8" xfId="22076" xr:uid="{00000000-0005-0000-0000-00003C560000}"/>
    <cellStyle name="Normal 256" xfId="22077" xr:uid="{00000000-0005-0000-0000-00003D560000}"/>
    <cellStyle name="Normal 256 2" xfId="22078" xr:uid="{00000000-0005-0000-0000-00003E560000}"/>
    <cellStyle name="Normal 256 2 2" xfId="22079" xr:uid="{00000000-0005-0000-0000-00003F560000}"/>
    <cellStyle name="Normal 256 2 2 2" xfId="22080" xr:uid="{00000000-0005-0000-0000-000040560000}"/>
    <cellStyle name="Normal 256 2 2 2 2" xfId="22081" xr:uid="{00000000-0005-0000-0000-000041560000}"/>
    <cellStyle name="Normal 256 2 2 3" xfId="22082" xr:uid="{00000000-0005-0000-0000-000042560000}"/>
    <cellStyle name="Normal 256 2 2 3 2" xfId="22083" xr:uid="{00000000-0005-0000-0000-000043560000}"/>
    <cellStyle name="Normal 256 2 2 3 2 2" xfId="22084" xr:uid="{00000000-0005-0000-0000-000044560000}"/>
    <cellStyle name="Normal 256 2 2 3 3" xfId="22085" xr:uid="{00000000-0005-0000-0000-000045560000}"/>
    <cellStyle name="Normal 256 2 2 4" xfId="22086" xr:uid="{00000000-0005-0000-0000-000046560000}"/>
    <cellStyle name="Normal 256 2 2 4 2" xfId="22087" xr:uid="{00000000-0005-0000-0000-000047560000}"/>
    <cellStyle name="Normal 256 2 2 4 2 2" xfId="22088" xr:uid="{00000000-0005-0000-0000-000048560000}"/>
    <cellStyle name="Normal 256 2 2 4 3" xfId="22089" xr:uid="{00000000-0005-0000-0000-000049560000}"/>
    <cellStyle name="Normal 256 2 2 5" xfId="22090" xr:uid="{00000000-0005-0000-0000-00004A560000}"/>
    <cellStyle name="Normal 256 2 3" xfId="22091" xr:uid="{00000000-0005-0000-0000-00004B560000}"/>
    <cellStyle name="Normal 256 2 3 2" xfId="22092" xr:uid="{00000000-0005-0000-0000-00004C560000}"/>
    <cellStyle name="Normal 256 2 3 2 2" xfId="22093" xr:uid="{00000000-0005-0000-0000-00004D560000}"/>
    <cellStyle name="Normal 256 2 3 2 2 2" xfId="22094" xr:uid="{00000000-0005-0000-0000-00004E560000}"/>
    <cellStyle name="Normal 256 2 3 2 3" xfId="22095" xr:uid="{00000000-0005-0000-0000-00004F560000}"/>
    <cellStyle name="Normal 256 2 3 2 3 2" xfId="22096" xr:uid="{00000000-0005-0000-0000-000050560000}"/>
    <cellStyle name="Normal 256 2 3 2 3 2 2" xfId="22097" xr:uid="{00000000-0005-0000-0000-000051560000}"/>
    <cellStyle name="Normal 256 2 3 2 3 3" xfId="22098" xr:uid="{00000000-0005-0000-0000-000052560000}"/>
    <cellStyle name="Normal 256 2 3 2 4" xfId="22099" xr:uid="{00000000-0005-0000-0000-000053560000}"/>
    <cellStyle name="Normal 256 2 3 3" xfId="22100" xr:uid="{00000000-0005-0000-0000-000054560000}"/>
    <cellStyle name="Normal 256 2 3 3 2" xfId="22101" xr:uid="{00000000-0005-0000-0000-000055560000}"/>
    <cellStyle name="Normal 256 2 3 3 2 2" xfId="22102" xr:uid="{00000000-0005-0000-0000-000056560000}"/>
    <cellStyle name="Normal 256 2 3 3 3" xfId="22103" xr:uid="{00000000-0005-0000-0000-000057560000}"/>
    <cellStyle name="Normal 256 2 3 4" xfId="22104" xr:uid="{00000000-0005-0000-0000-000058560000}"/>
    <cellStyle name="Normal 256 2 3 4 2" xfId="22105" xr:uid="{00000000-0005-0000-0000-000059560000}"/>
    <cellStyle name="Normal 256 2 3 4 2 2" xfId="22106" xr:uid="{00000000-0005-0000-0000-00005A560000}"/>
    <cellStyle name="Normal 256 2 3 4 3" xfId="22107" xr:uid="{00000000-0005-0000-0000-00005B560000}"/>
    <cellStyle name="Normal 256 2 3 5" xfId="22108" xr:uid="{00000000-0005-0000-0000-00005C560000}"/>
    <cellStyle name="Normal 256 2 3 5 2" xfId="22109" xr:uid="{00000000-0005-0000-0000-00005D560000}"/>
    <cellStyle name="Normal 256 2 3 5 2 2" xfId="22110" xr:uid="{00000000-0005-0000-0000-00005E560000}"/>
    <cellStyle name="Normal 256 2 3 5 3" xfId="22111" xr:uid="{00000000-0005-0000-0000-00005F560000}"/>
    <cellStyle name="Normal 256 2 3 6" xfId="22112" xr:uid="{00000000-0005-0000-0000-000060560000}"/>
    <cellStyle name="Normal 256 2 4" xfId="22113" xr:uid="{00000000-0005-0000-0000-000061560000}"/>
    <cellStyle name="Normal 256 2 4 2" xfId="22114" xr:uid="{00000000-0005-0000-0000-000062560000}"/>
    <cellStyle name="Normal 256 2 4 2 2" xfId="22115" xr:uid="{00000000-0005-0000-0000-000063560000}"/>
    <cellStyle name="Normal 256 2 4 3" xfId="22116" xr:uid="{00000000-0005-0000-0000-000064560000}"/>
    <cellStyle name="Normal 256 2 5" xfId="22117" xr:uid="{00000000-0005-0000-0000-000065560000}"/>
    <cellStyle name="Normal 256 2 5 2" xfId="22118" xr:uid="{00000000-0005-0000-0000-000066560000}"/>
    <cellStyle name="Normal 256 2 5 2 2" xfId="22119" xr:uid="{00000000-0005-0000-0000-000067560000}"/>
    <cellStyle name="Normal 256 2 5 3" xfId="22120" xr:uid="{00000000-0005-0000-0000-000068560000}"/>
    <cellStyle name="Normal 256 2 6" xfId="22121" xr:uid="{00000000-0005-0000-0000-000069560000}"/>
    <cellStyle name="Normal 256 2 6 2" xfId="22122" xr:uid="{00000000-0005-0000-0000-00006A560000}"/>
    <cellStyle name="Normal 256 2 6 2 2" xfId="22123" xr:uid="{00000000-0005-0000-0000-00006B560000}"/>
    <cellStyle name="Normal 256 2 6 3" xfId="22124" xr:uid="{00000000-0005-0000-0000-00006C560000}"/>
    <cellStyle name="Normal 256 2 7" xfId="22125" xr:uid="{00000000-0005-0000-0000-00006D560000}"/>
    <cellStyle name="Normal 256 3" xfId="22126" xr:uid="{00000000-0005-0000-0000-00006E560000}"/>
    <cellStyle name="Normal 256 3 2" xfId="22127" xr:uid="{00000000-0005-0000-0000-00006F560000}"/>
    <cellStyle name="Normal 256 3 2 2" xfId="22128" xr:uid="{00000000-0005-0000-0000-000070560000}"/>
    <cellStyle name="Normal 256 3 3" xfId="22129" xr:uid="{00000000-0005-0000-0000-000071560000}"/>
    <cellStyle name="Normal 256 3 3 2" xfId="22130" xr:uid="{00000000-0005-0000-0000-000072560000}"/>
    <cellStyle name="Normal 256 3 3 2 2" xfId="22131" xr:uid="{00000000-0005-0000-0000-000073560000}"/>
    <cellStyle name="Normal 256 3 3 3" xfId="22132" xr:uid="{00000000-0005-0000-0000-000074560000}"/>
    <cellStyle name="Normal 256 3 4" xfId="22133" xr:uid="{00000000-0005-0000-0000-000075560000}"/>
    <cellStyle name="Normal 256 3 4 2" xfId="22134" xr:uid="{00000000-0005-0000-0000-000076560000}"/>
    <cellStyle name="Normal 256 3 4 2 2" xfId="22135" xr:uid="{00000000-0005-0000-0000-000077560000}"/>
    <cellStyle name="Normal 256 3 4 3" xfId="22136" xr:uid="{00000000-0005-0000-0000-000078560000}"/>
    <cellStyle name="Normal 256 3 5" xfId="22137" xr:uid="{00000000-0005-0000-0000-000079560000}"/>
    <cellStyle name="Normal 256 4" xfId="22138" xr:uid="{00000000-0005-0000-0000-00007A560000}"/>
    <cellStyle name="Normal 256 4 2" xfId="22139" xr:uid="{00000000-0005-0000-0000-00007B560000}"/>
    <cellStyle name="Normal 256 4 2 2" xfId="22140" xr:uid="{00000000-0005-0000-0000-00007C560000}"/>
    <cellStyle name="Normal 256 4 2 2 2" xfId="22141" xr:uid="{00000000-0005-0000-0000-00007D560000}"/>
    <cellStyle name="Normal 256 4 2 3" xfId="22142" xr:uid="{00000000-0005-0000-0000-00007E560000}"/>
    <cellStyle name="Normal 256 4 2 3 2" xfId="22143" xr:uid="{00000000-0005-0000-0000-00007F560000}"/>
    <cellStyle name="Normal 256 4 2 3 2 2" xfId="22144" xr:uid="{00000000-0005-0000-0000-000080560000}"/>
    <cellStyle name="Normal 256 4 2 3 3" xfId="22145" xr:uid="{00000000-0005-0000-0000-000081560000}"/>
    <cellStyle name="Normal 256 4 2 4" xfId="22146" xr:uid="{00000000-0005-0000-0000-000082560000}"/>
    <cellStyle name="Normal 256 4 3" xfId="22147" xr:uid="{00000000-0005-0000-0000-000083560000}"/>
    <cellStyle name="Normal 256 4 3 2" xfId="22148" xr:uid="{00000000-0005-0000-0000-000084560000}"/>
    <cellStyle name="Normal 256 4 3 2 2" xfId="22149" xr:uid="{00000000-0005-0000-0000-000085560000}"/>
    <cellStyle name="Normal 256 4 3 3" xfId="22150" xr:uid="{00000000-0005-0000-0000-000086560000}"/>
    <cellStyle name="Normal 256 4 4" xfId="22151" xr:uid="{00000000-0005-0000-0000-000087560000}"/>
    <cellStyle name="Normal 256 4 4 2" xfId="22152" xr:uid="{00000000-0005-0000-0000-000088560000}"/>
    <cellStyle name="Normal 256 4 4 2 2" xfId="22153" xr:uid="{00000000-0005-0000-0000-000089560000}"/>
    <cellStyle name="Normal 256 4 4 3" xfId="22154" xr:uid="{00000000-0005-0000-0000-00008A560000}"/>
    <cellStyle name="Normal 256 4 5" xfId="22155" xr:uid="{00000000-0005-0000-0000-00008B560000}"/>
    <cellStyle name="Normal 256 4 5 2" xfId="22156" xr:uid="{00000000-0005-0000-0000-00008C560000}"/>
    <cellStyle name="Normal 256 4 5 2 2" xfId="22157" xr:uid="{00000000-0005-0000-0000-00008D560000}"/>
    <cellStyle name="Normal 256 4 5 3" xfId="22158" xr:uid="{00000000-0005-0000-0000-00008E560000}"/>
    <cellStyle name="Normal 256 4 6" xfId="22159" xr:uid="{00000000-0005-0000-0000-00008F560000}"/>
    <cellStyle name="Normal 256 5" xfId="22160" xr:uid="{00000000-0005-0000-0000-000090560000}"/>
    <cellStyle name="Normal 256 5 2" xfId="22161" xr:uid="{00000000-0005-0000-0000-000091560000}"/>
    <cellStyle name="Normal 256 5 2 2" xfId="22162" xr:uid="{00000000-0005-0000-0000-000092560000}"/>
    <cellStyle name="Normal 256 5 3" xfId="22163" xr:uid="{00000000-0005-0000-0000-000093560000}"/>
    <cellStyle name="Normal 256 6" xfId="22164" xr:uid="{00000000-0005-0000-0000-000094560000}"/>
    <cellStyle name="Normal 256 6 2" xfId="22165" xr:uid="{00000000-0005-0000-0000-000095560000}"/>
    <cellStyle name="Normal 256 6 2 2" xfId="22166" xr:uid="{00000000-0005-0000-0000-000096560000}"/>
    <cellStyle name="Normal 256 6 3" xfId="22167" xr:uid="{00000000-0005-0000-0000-000097560000}"/>
    <cellStyle name="Normal 256 7" xfId="22168" xr:uid="{00000000-0005-0000-0000-000098560000}"/>
    <cellStyle name="Normal 256 7 2" xfId="22169" xr:uid="{00000000-0005-0000-0000-000099560000}"/>
    <cellStyle name="Normal 256 7 2 2" xfId="22170" xr:uid="{00000000-0005-0000-0000-00009A560000}"/>
    <cellStyle name="Normal 256 7 3" xfId="22171" xr:uid="{00000000-0005-0000-0000-00009B560000}"/>
    <cellStyle name="Normal 256 8" xfId="22172" xr:uid="{00000000-0005-0000-0000-00009C560000}"/>
    <cellStyle name="Normal 257" xfId="22173" xr:uid="{00000000-0005-0000-0000-00009D560000}"/>
    <cellStyle name="Normal 257 2" xfId="22174" xr:uid="{00000000-0005-0000-0000-00009E560000}"/>
    <cellStyle name="Normal 257 2 2" xfId="22175" xr:uid="{00000000-0005-0000-0000-00009F560000}"/>
    <cellStyle name="Normal 257 2 2 2" xfId="22176" xr:uid="{00000000-0005-0000-0000-0000A0560000}"/>
    <cellStyle name="Normal 257 2 3" xfId="22177" xr:uid="{00000000-0005-0000-0000-0000A1560000}"/>
    <cellStyle name="Normal 257 2 3 2" xfId="22178" xr:uid="{00000000-0005-0000-0000-0000A2560000}"/>
    <cellStyle name="Normal 257 2 3 2 2" xfId="22179" xr:uid="{00000000-0005-0000-0000-0000A3560000}"/>
    <cellStyle name="Normal 257 2 3 3" xfId="22180" xr:uid="{00000000-0005-0000-0000-0000A4560000}"/>
    <cellStyle name="Normal 257 2 4" xfId="22181" xr:uid="{00000000-0005-0000-0000-0000A5560000}"/>
    <cellStyle name="Normal 257 2 4 2" xfId="22182" xr:uid="{00000000-0005-0000-0000-0000A6560000}"/>
    <cellStyle name="Normal 257 2 4 2 2" xfId="22183" xr:uid="{00000000-0005-0000-0000-0000A7560000}"/>
    <cellStyle name="Normal 257 2 4 3" xfId="22184" xr:uid="{00000000-0005-0000-0000-0000A8560000}"/>
    <cellStyle name="Normal 257 2 5" xfId="22185" xr:uid="{00000000-0005-0000-0000-0000A9560000}"/>
    <cellStyle name="Normal 257 3" xfId="22186" xr:uid="{00000000-0005-0000-0000-0000AA560000}"/>
    <cellStyle name="Normal 257 3 2" xfId="22187" xr:uid="{00000000-0005-0000-0000-0000AB560000}"/>
    <cellStyle name="Normal 257 3 2 2" xfId="22188" xr:uid="{00000000-0005-0000-0000-0000AC560000}"/>
    <cellStyle name="Normal 257 3 2 2 2" xfId="22189" xr:uid="{00000000-0005-0000-0000-0000AD560000}"/>
    <cellStyle name="Normal 257 3 2 3" xfId="22190" xr:uid="{00000000-0005-0000-0000-0000AE560000}"/>
    <cellStyle name="Normal 257 3 2 3 2" xfId="22191" xr:uid="{00000000-0005-0000-0000-0000AF560000}"/>
    <cellStyle name="Normal 257 3 2 3 2 2" xfId="22192" xr:uid="{00000000-0005-0000-0000-0000B0560000}"/>
    <cellStyle name="Normal 257 3 2 3 3" xfId="22193" xr:uid="{00000000-0005-0000-0000-0000B1560000}"/>
    <cellStyle name="Normal 257 3 2 4" xfId="22194" xr:uid="{00000000-0005-0000-0000-0000B2560000}"/>
    <cellStyle name="Normal 257 3 3" xfId="22195" xr:uid="{00000000-0005-0000-0000-0000B3560000}"/>
    <cellStyle name="Normal 257 3 3 2" xfId="22196" xr:uid="{00000000-0005-0000-0000-0000B4560000}"/>
    <cellStyle name="Normal 257 3 3 2 2" xfId="22197" xr:uid="{00000000-0005-0000-0000-0000B5560000}"/>
    <cellStyle name="Normal 257 3 3 3" xfId="22198" xr:uid="{00000000-0005-0000-0000-0000B6560000}"/>
    <cellStyle name="Normal 257 3 4" xfId="22199" xr:uid="{00000000-0005-0000-0000-0000B7560000}"/>
    <cellStyle name="Normal 257 3 4 2" xfId="22200" xr:uid="{00000000-0005-0000-0000-0000B8560000}"/>
    <cellStyle name="Normal 257 3 4 2 2" xfId="22201" xr:uid="{00000000-0005-0000-0000-0000B9560000}"/>
    <cellStyle name="Normal 257 3 4 3" xfId="22202" xr:uid="{00000000-0005-0000-0000-0000BA560000}"/>
    <cellStyle name="Normal 257 3 5" xfId="22203" xr:uid="{00000000-0005-0000-0000-0000BB560000}"/>
    <cellStyle name="Normal 257 3 5 2" xfId="22204" xr:uid="{00000000-0005-0000-0000-0000BC560000}"/>
    <cellStyle name="Normal 257 3 5 2 2" xfId="22205" xr:uid="{00000000-0005-0000-0000-0000BD560000}"/>
    <cellStyle name="Normal 257 3 5 3" xfId="22206" xr:uid="{00000000-0005-0000-0000-0000BE560000}"/>
    <cellStyle name="Normal 257 3 6" xfId="22207" xr:uid="{00000000-0005-0000-0000-0000BF560000}"/>
    <cellStyle name="Normal 257 4" xfId="22208" xr:uid="{00000000-0005-0000-0000-0000C0560000}"/>
    <cellStyle name="Normal 257 4 2" xfId="22209" xr:uid="{00000000-0005-0000-0000-0000C1560000}"/>
    <cellStyle name="Normal 257 4 2 2" xfId="22210" xr:uid="{00000000-0005-0000-0000-0000C2560000}"/>
    <cellStyle name="Normal 257 4 3" xfId="22211" xr:uid="{00000000-0005-0000-0000-0000C3560000}"/>
    <cellStyle name="Normal 257 5" xfId="22212" xr:uid="{00000000-0005-0000-0000-0000C4560000}"/>
    <cellStyle name="Normal 257 5 2" xfId="22213" xr:uid="{00000000-0005-0000-0000-0000C5560000}"/>
    <cellStyle name="Normal 257 5 2 2" xfId="22214" xr:uid="{00000000-0005-0000-0000-0000C6560000}"/>
    <cellStyle name="Normal 257 5 3" xfId="22215" xr:uid="{00000000-0005-0000-0000-0000C7560000}"/>
    <cellStyle name="Normal 257 6" xfId="22216" xr:uid="{00000000-0005-0000-0000-0000C8560000}"/>
    <cellStyle name="Normal 257 6 2" xfId="22217" xr:uid="{00000000-0005-0000-0000-0000C9560000}"/>
    <cellStyle name="Normal 257 6 2 2" xfId="22218" xr:uid="{00000000-0005-0000-0000-0000CA560000}"/>
    <cellStyle name="Normal 257 6 3" xfId="22219" xr:uid="{00000000-0005-0000-0000-0000CB560000}"/>
    <cellStyle name="Normal 257 7" xfId="22220" xr:uid="{00000000-0005-0000-0000-0000CC560000}"/>
    <cellStyle name="Normal 258" xfId="22221" xr:uid="{00000000-0005-0000-0000-0000CD560000}"/>
    <cellStyle name="Normal 258 2" xfId="22222" xr:uid="{00000000-0005-0000-0000-0000CE560000}"/>
    <cellStyle name="Normal 258 2 2" xfId="22223" xr:uid="{00000000-0005-0000-0000-0000CF560000}"/>
    <cellStyle name="Normal 258 2 2 2" xfId="22224" xr:uid="{00000000-0005-0000-0000-0000D0560000}"/>
    <cellStyle name="Normal 258 2 3" xfId="22225" xr:uid="{00000000-0005-0000-0000-0000D1560000}"/>
    <cellStyle name="Normal 258 2 3 2" xfId="22226" xr:uid="{00000000-0005-0000-0000-0000D2560000}"/>
    <cellStyle name="Normal 258 2 3 2 2" xfId="22227" xr:uid="{00000000-0005-0000-0000-0000D3560000}"/>
    <cellStyle name="Normal 258 2 3 3" xfId="22228" xr:uid="{00000000-0005-0000-0000-0000D4560000}"/>
    <cellStyle name="Normal 258 2 4" xfId="22229" xr:uid="{00000000-0005-0000-0000-0000D5560000}"/>
    <cellStyle name="Normal 258 2 4 2" xfId="22230" xr:uid="{00000000-0005-0000-0000-0000D6560000}"/>
    <cellStyle name="Normal 258 2 4 2 2" xfId="22231" xr:uid="{00000000-0005-0000-0000-0000D7560000}"/>
    <cellStyle name="Normal 258 2 4 3" xfId="22232" xr:uid="{00000000-0005-0000-0000-0000D8560000}"/>
    <cellStyle name="Normal 258 2 5" xfId="22233" xr:uid="{00000000-0005-0000-0000-0000D9560000}"/>
    <cellStyle name="Normal 258 3" xfId="22234" xr:uid="{00000000-0005-0000-0000-0000DA560000}"/>
    <cellStyle name="Normal 258 3 2" xfId="22235" xr:uid="{00000000-0005-0000-0000-0000DB560000}"/>
    <cellStyle name="Normal 258 3 2 2" xfId="22236" xr:uid="{00000000-0005-0000-0000-0000DC560000}"/>
    <cellStyle name="Normal 258 3 2 2 2" xfId="22237" xr:uid="{00000000-0005-0000-0000-0000DD560000}"/>
    <cellStyle name="Normal 258 3 2 3" xfId="22238" xr:uid="{00000000-0005-0000-0000-0000DE560000}"/>
    <cellStyle name="Normal 258 3 2 3 2" xfId="22239" xr:uid="{00000000-0005-0000-0000-0000DF560000}"/>
    <cellStyle name="Normal 258 3 2 3 2 2" xfId="22240" xr:uid="{00000000-0005-0000-0000-0000E0560000}"/>
    <cellStyle name="Normal 258 3 2 3 3" xfId="22241" xr:uid="{00000000-0005-0000-0000-0000E1560000}"/>
    <cellStyle name="Normal 258 3 2 4" xfId="22242" xr:uid="{00000000-0005-0000-0000-0000E2560000}"/>
    <cellStyle name="Normal 258 3 3" xfId="22243" xr:uid="{00000000-0005-0000-0000-0000E3560000}"/>
    <cellStyle name="Normal 258 3 3 2" xfId="22244" xr:uid="{00000000-0005-0000-0000-0000E4560000}"/>
    <cellStyle name="Normal 258 3 3 2 2" xfId="22245" xr:uid="{00000000-0005-0000-0000-0000E5560000}"/>
    <cellStyle name="Normal 258 3 3 3" xfId="22246" xr:uid="{00000000-0005-0000-0000-0000E6560000}"/>
    <cellStyle name="Normal 258 3 4" xfId="22247" xr:uid="{00000000-0005-0000-0000-0000E7560000}"/>
    <cellStyle name="Normal 258 3 4 2" xfId="22248" xr:uid="{00000000-0005-0000-0000-0000E8560000}"/>
    <cellStyle name="Normal 258 3 4 2 2" xfId="22249" xr:uid="{00000000-0005-0000-0000-0000E9560000}"/>
    <cellStyle name="Normal 258 3 4 3" xfId="22250" xr:uid="{00000000-0005-0000-0000-0000EA560000}"/>
    <cellStyle name="Normal 258 3 5" xfId="22251" xr:uid="{00000000-0005-0000-0000-0000EB560000}"/>
    <cellStyle name="Normal 258 3 5 2" xfId="22252" xr:uid="{00000000-0005-0000-0000-0000EC560000}"/>
    <cellStyle name="Normal 258 3 5 2 2" xfId="22253" xr:uid="{00000000-0005-0000-0000-0000ED560000}"/>
    <cellStyle name="Normal 258 3 5 3" xfId="22254" xr:uid="{00000000-0005-0000-0000-0000EE560000}"/>
    <cellStyle name="Normal 258 3 6" xfId="22255" xr:uid="{00000000-0005-0000-0000-0000EF560000}"/>
    <cellStyle name="Normal 258 4" xfId="22256" xr:uid="{00000000-0005-0000-0000-0000F0560000}"/>
    <cellStyle name="Normal 258 4 2" xfId="22257" xr:uid="{00000000-0005-0000-0000-0000F1560000}"/>
    <cellStyle name="Normal 258 4 2 2" xfId="22258" xr:uid="{00000000-0005-0000-0000-0000F2560000}"/>
    <cellStyle name="Normal 258 4 3" xfId="22259" xr:uid="{00000000-0005-0000-0000-0000F3560000}"/>
    <cellStyle name="Normal 258 5" xfId="22260" xr:uid="{00000000-0005-0000-0000-0000F4560000}"/>
    <cellStyle name="Normal 258 5 2" xfId="22261" xr:uid="{00000000-0005-0000-0000-0000F5560000}"/>
    <cellStyle name="Normal 258 5 2 2" xfId="22262" xr:uid="{00000000-0005-0000-0000-0000F6560000}"/>
    <cellStyle name="Normal 258 5 3" xfId="22263" xr:uid="{00000000-0005-0000-0000-0000F7560000}"/>
    <cellStyle name="Normal 258 6" xfId="22264" xr:uid="{00000000-0005-0000-0000-0000F8560000}"/>
    <cellStyle name="Normal 258 6 2" xfId="22265" xr:uid="{00000000-0005-0000-0000-0000F9560000}"/>
    <cellStyle name="Normal 258 6 2 2" xfId="22266" xr:uid="{00000000-0005-0000-0000-0000FA560000}"/>
    <cellStyle name="Normal 258 6 3" xfId="22267" xr:uid="{00000000-0005-0000-0000-0000FB560000}"/>
    <cellStyle name="Normal 258 7" xfId="22268" xr:uid="{00000000-0005-0000-0000-0000FC560000}"/>
    <cellStyle name="Normal 259" xfId="22269" xr:uid="{00000000-0005-0000-0000-0000FD560000}"/>
    <cellStyle name="Normal 259 2" xfId="22270" xr:uid="{00000000-0005-0000-0000-0000FE560000}"/>
    <cellStyle name="Normal 259 2 2" xfId="22271" xr:uid="{00000000-0005-0000-0000-0000FF560000}"/>
    <cellStyle name="Normal 259 2 2 2" xfId="22272" xr:uid="{00000000-0005-0000-0000-000000570000}"/>
    <cellStyle name="Normal 259 2 3" xfId="22273" xr:uid="{00000000-0005-0000-0000-000001570000}"/>
    <cellStyle name="Normal 259 2 3 2" xfId="22274" xr:uid="{00000000-0005-0000-0000-000002570000}"/>
    <cellStyle name="Normal 259 2 3 2 2" xfId="22275" xr:uid="{00000000-0005-0000-0000-000003570000}"/>
    <cellStyle name="Normal 259 2 3 3" xfId="22276" xr:uid="{00000000-0005-0000-0000-000004570000}"/>
    <cellStyle name="Normal 259 2 4" xfId="22277" xr:uid="{00000000-0005-0000-0000-000005570000}"/>
    <cellStyle name="Normal 259 2 4 2" xfId="22278" xr:uid="{00000000-0005-0000-0000-000006570000}"/>
    <cellStyle name="Normal 259 2 4 2 2" xfId="22279" xr:uid="{00000000-0005-0000-0000-000007570000}"/>
    <cellStyle name="Normal 259 2 4 3" xfId="22280" xr:uid="{00000000-0005-0000-0000-000008570000}"/>
    <cellStyle name="Normal 259 2 5" xfId="22281" xr:uid="{00000000-0005-0000-0000-000009570000}"/>
    <cellStyle name="Normal 259 3" xfId="22282" xr:uid="{00000000-0005-0000-0000-00000A570000}"/>
    <cellStyle name="Normal 259 3 2" xfId="22283" xr:uid="{00000000-0005-0000-0000-00000B570000}"/>
    <cellStyle name="Normal 259 3 2 2" xfId="22284" xr:uid="{00000000-0005-0000-0000-00000C570000}"/>
    <cellStyle name="Normal 259 3 2 2 2" xfId="22285" xr:uid="{00000000-0005-0000-0000-00000D570000}"/>
    <cellStyle name="Normal 259 3 2 3" xfId="22286" xr:uid="{00000000-0005-0000-0000-00000E570000}"/>
    <cellStyle name="Normal 259 3 2 3 2" xfId="22287" xr:uid="{00000000-0005-0000-0000-00000F570000}"/>
    <cellStyle name="Normal 259 3 2 3 2 2" xfId="22288" xr:uid="{00000000-0005-0000-0000-000010570000}"/>
    <cellStyle name="Normal 259 3 2 3 3" xfId="22289" xr:uid="{00000000-0005-0000-0000-000011570000}"/>
    <cellStyle name="Normal 259 3 2 4" xfId="22290" xr:uid="{00000000-0005-0000-0000-000012570000}"/>
    <cellStyle name="Normal 259 3 3" xfId="22291" xr:uid="{00000000-0005-0000-0000-000013570000}"/>
    <cellStyle name="Normal 259 3 3 2" xfId="22292" xr:uid="{00000000-0005-0000-0000-000014570000}"/>
    <cellStyle name="Normal 259 3 3 2 2" xfId="22293" xr:uid="{00000000-0005-0000-0000-000015570000}"/>
    <cellStyle name="Normal 259 3 3 3" xfId="22294" xr:uid="{00000000-0005-0000-0000-000016570000}"/>
    <cellStyle name="Normal 259 3 4" xfId="22295" xr:uid="{00000000-0005-0000-0000-000017570000}"/>
    <cellStyle name="Normal 259 3 4 2" xfId="22296" xr:uid="{00000000-0005-0000-0000-000018570000}"/>
    <cellStyle name="Normal 259 3 4 2 2" xfId="22297" xr:uid="{00000000-0005-0000-0000-000019570000}"/>
    <cellStyle name="Normal 259 3 4 3" xfId="22298" xr:uid="{00000000-0005-0000-0000-00001A570000}"/>
    <cellStyle name="Normal 259 3 5" xfId="22299" xr:uid="{00000000-0005-0000-0000-00001B570000}"/>
    <cellStyle name="Normal 259 3 5 2" xfId="22300" xr:uid="{00000000-0005-0000-0000-00001C570000}"/>
    <cellStyle name="Normal 259 3 5 2 2" xfId="22301" xr:uid="{00000000-0005-0000-0000-00001D570000}"/>
    <cellStyle name="Normal 259 3 5 3" xfId="22302" xr:uid="{00000000-0005-0000-0000-00001E570000}"/>
    <cellStyle name="Normal 259 3 6" xfId="22303" xr:uid="{00000000-0005-0000-0000-00001F570000}"/>
    <cellStyle name="Normal 259 4" xfId="22304" xr:uid="{00000000-0005-0000-0000-000020570000}"/>
    <cellStyle name="Normal 259 4 2" xfId="22305" xr:uid="{00000000-0005-0000-0000-000021570000}"/>
    <cellStyle name="Normal 259 4 2 2" xfId="22306" xr:uid="{00000000-0005-0000-0000-000022570000}"/>
    <cellStyle name="Normal 259 4 3" xfId="22307" xr:uid="{00000000-0005-0000-0000-000023570000}"/>
    <cellStyle name="Normal 259 5" xfId="22308" xr:uid="{00000000-0005-0000-0000-000024570000}"/>
    <cellStyle name="Normal 259 5 2" xfId="22309" xr:uid="{00000000-0005-0000-0000-000025570000}"/>
    <cellStyle name="Normal 259 5 2 2" xfId="22310" xr:uid="{00000000-0005-0000-0000-000026570000}"/>
    <cellStyle name="Normal 259 5 3" xfId="22311" xr:uid="{00000000-0005-0000-0000-000027570000}"/>
    <cellStyle name="Normal 259 6" xfId="22312" xr:uid="{00000000-0005-0000-0000-000028570000}"/>
    <cellStyle name="Normal 259 6 2" xfId="22313" xr:uid="{00000000-0005-0000-0000-000029570000}"/>
    <cellStyle name="Normal 259 6 2 2" xfId="22314" xr:uid="{00000000-0005-0000-0000-00002A570000}"/>
    <cellStyle name="Normal 259 6 3" xfId="22315" xr:uid="{00000000-0005-0000-0000-00002B570000}"/>
    <cellStyle name="Normal 259 7" xfId="22316" xr:uid="{00000000-0005-0000-0000-00002C570000}"/>
    <cellStyle name="Normal 26" xfId="22317" xr:uid="{00000000-0005-0000-0000-00002D570000}"/>
    <cellStyle name="Normal 26 2" xfId="22318" xr:uid="{00000000-0005-0000-0000-00002E570000}"/>
    <cellStyle name="Normal 26 2 2" xfId="22319" xr:uid="{00000000-0005-0000-0000-00002F570000}"/>
    <cellStyle name="Normal 26 2 2 2" xfId="22320" xr:uid="{00000000-0005-0000-0000-000030570000}"/>
    <cellStyle name="Normal 26 2 2 2 2" xfId="22321" xr:uid="{00000000-0005-0000-0000-000031570000}"/>
    <cellStyle name="Normal 26 2 2 3" xfId="22322" xr:uid="{00000000-0005-0000-0000-000032570000}"/>
    <cellStyle name="Normal 26 2 2 3 2" xfId="22323" xr:uid="{00000000-0005-0000-0000-000033570000}"/>
    <cellStyle name="Normal 26 2 2 3 2 2" xfId="22324" xr:uid="{00000000-0005-0000-0000-000034570000}"/>
    <cellStyle name="Normal 26 2 2 3 3" xfId="22325" xr:uid="{00000000-0005-0000-0000-000035570000}"/>
    <cellStyle name="Normal 26 2 2 4" xfId="22326" xr:uid="{00000000-0005-0000-0000-000036570000}"/>
    <cellStyle name="Normal 26 2 2 4 2" xfId="22327" xr:uid="{00000000-0005-0000-0000-000037570000}"/>
    <cellStyle name="Normal 26 2 2 4 2 2" xfId="22328" xr:uid="{00000000-0005-0000-0000-000038570000}"/>
    <cellStyle name="Normal 26 2 2 4 3" xfId="22329" xr:uid="{00000000-0005-0000-0000-000039570000}"/>
    <cellStyle name="Normal 26 2 2 5" xfId="22330" xr:uid="{00000000-0005-0000-0000-00003A570000}"/>
    <cellStyle name="Normal 26 2 3" xfId="22331" xr:uid="{00000000-0005-0000-0000-00003B570000}"/>
    <cellStyle name="Normal 26 2 3 2" xfId="22332" xr:uid="{00000000-0005-0000-0000-00003C570000}"/>
    <cellStyle name="Normal 26 2 3 2 2" xfId="22333" xr:uid="{00000000-0005-0000-0000-00003D570000}"/>
    <cellStyle name="Normal 26 2 3 3" xfId="22334" xr:uid="{00000000-0005-0000-0000-00003E570000}"/>
    <cellStyle name="Normal 26 2 4" xfId="22335" xr:uid="{00000000-0005-0000-0000-00003F570000}"/>
    <cellStyle name="Normal 26 2 4 2" xfId="22336" xr:uid="{00000000-0005-0000-0000-000040570000}"/>
    <cellStyle name="Normal 26 2 4 2 2" xfId="22337" xr:uid="{00000000-0005-0000-0000-000041570000}"/>
    <cellStyle name="Normal 26 2 4 3" xfId="22338" xr:uid="{00000000-0005-0000-0000-000042570000}"/>
    <cellStyle name="Normal 26 2 5" xfId="22339" xr:uid="{00000000-0005-0000-0000-000043570000}"/>
    <cellStyle name="Normal 26 2 5 2" xfId="22340" xr:uid="{00000000-0005-0000-0000-000044570000}"/>
    <cellStyle name="Normal 26 2 5 2 2" xfId="22341" xr:uid="{00000000-0005-0000-0000-000045570000}"/>
    <cellStyle name="Normal 26 2 5 3" xfId="22342" xr:uid="{00000000-0005-0000-0000-000046570000}"/>
    <cellStyle name="Normal 26 2 6" xfId="22343" xr:uid="{00000000-0005-0000-0000-000047570000}"/>
    <cellStyle name="Normal 26 3" xfId="22344" xr:uid="{00000000-0005-0000-0000-000048570000}"/>
    <cellStyle name="Normal 26 3 2" xfId="22345" xr:uid="{00000000-0005-0000-0000-000049570000}"/>
    <cellStyle name="Normal 26 3 2 2" xfId="22346" xr:uid="{00000000-0005-0000-0000-00004A570000}"/>
    <cellStyle name="Normal 26 3 3" xfId="22347" xr:uid="{00000000-0005-0000-0000-00004B570000}"/>
    <cellStyle name="Normal 26 3 3 2" xfId="22348" xr:uid="{00000000-0005-0000-0000-00004C570000}"/>
    <cellStyle name="Normal 26 3 3 2 2" xfId="22349" xr:uid="{00000000-0005-0000-0000-00004D570000}"/>
    <cellStyle name="Normal 26 3 3 3" xfId="22350" xr:uid="{00000000-0005-0000-0000-00004E570000}"/>
    <cellStyle name="Normal 26 3 4" xfId="22351" xr:uid="{00000000-0005-0000-0000-00004F570000}"/>
    <cellStyle name="Normal 26 3 4 2" xfId="22352" xr:uid="{00000000-0005-0000-0000-000050570000}"/>
    <cellStyle name="Normal 26 3 4 2 2" xfId="22353" xr:uid="{00000000-0005-0000-0000-000051570000}"/>
    <cellStyle name="Normal 26 3 4 3" xfId="22354" xr:uid="{00000000-0005-0000-0000-000052570000}"/>
    <cellStyle name="Normal 26 3 5" xfId="22355" xr:uid="{00000000-0005-0000-0000-000053570000}"/>
    <cellStyle name="Normal 26 4" xfId="22356" xr:uid="{00000000-0005-0000-0000-000054570000}"/>
    <cellStyle name="Normal 26 4 2" xfId="22357" xr:uid="{00000000-0005-0000-0000-000055570000}"/>
    <cellStyle name="Normal 26 4 2 2" xfId="22358" xr:uid="{00000000-0005-0000-0000-000056570000}"/>
    <cellStyle name="Normal 26 4 3" xfId="22359" xr:uid="{00000000-0005-0000-0000-000057570000}"/>
    <cellStyle name="Normal 26 4 3 2" xfId="22360" xr:uid="{00000000-0005-0000-0000-000058570000}"/>
    <cellStyle name="Normal 26 4 3 2 2" xfId="22361" xr:uid="{00000000-0005-0000-0000-000059570000}"/>
    <cellStyle name="Normal 26 4 3 3" xfId="22362" xr:uid="{00000000-0005-0000-0000-00005A570000}"/>
    <cellStyle name="Normal 26 4 4" xfId="22363" xr:uid="{00000000-0005-0000-0000-00005B570000}"/>
    <cellStyle name="Normal 26 4 4 2" xfId="22364" xr:uid="{00000000-0005-0000-0000-00005C570000}"/>
    <cellStyle name="Normal 26 4 4 2 2" xfId="22365" xr:uid="{00000000-0005-0000-0000-00005D570000}"/>
    <cellStyle name="Normal 26 4 4 3" xfId="22366" xr:uid="{00000000-0005-0000-0000-00005E570000}"/>
    <cellStyle name="Normal 26 4 5" xfId="22367" xr:uid="{00000000-0005-0000-0000-00005F570000}"/>
    <cellStyle name="Normal 26 5" xfId="22368" xr:uid="{00000000-0005-0000-0000-000060570000}"/>
    <cellStyle name="Normal 26 5 2" xfId="22369" xr:uid="{00000000-0005-0000-0000-000061570000}"/>
    <cellStyle name="Normal 26 5 2 2" xfId="22370" xr:uid="{00000000-0005-0000-0000-000062570000}"/>
    <cellStyle name="Normal 26 5 3" xfId="22371" xr:uid="{00000000-0005-0000-0000-000063570000}"/>
    <cellStyle name="Normal 26 6" xfId="22372" xr:uid="{00000000-0005-0000-0000-000064570000}"/>
    <cellStyle name="Normal 26 6 2" xfId="22373" xr:uid="{00000000-0005-0000-0000-000065570000}"/>
    <cellStyle name="Normal 26 6 2 2" xfId="22374" xr:uid="{00000000-0005-0000-0000-000066570000}"/>
    <cellStyle name="Normal 26 6 3" xfId="22375" xr:uid="{00000000-0005-0000-0000-000067570000}"/>
    <cellStyle name="Normal 26 7" xfId="22376" xr:uid="{00000000-0005-0000-0000-000068570000}"/>
    <cellStyle name="Normal 26 7 2" xfId="22377" xr:uid="{00000000-0005-0000-0000-000069570000}"/>
    <cellStyle name="Normal 26 7 2 2" xfId="22378" xr:uid="{00000000-0005-0000-0000-00006A570000}"/>
    <cellStyle name="Normal 26 7 3" xfId="22379" xr:uid="{00000000-0005-0000-0000-00006B570000}"/>
    <cellStyle name="Normal 26 8" xfId="22380" xr:uid="{00000000-0005-0000-0000-00006C570000}"/>
    <cellStyle name="Normal 260" xfId="22381" xr:uid="{00000000-0005-0000-0000-00006D570000}"/>
    <cellStyle name="Normal 260 2" xfId="22382" xr:uid="{00000000-0005-0000-0000-00006E570000}"/>
    <cellStyle name="Normal 260 2 2" xfId="22383" xr:uid="{00000000-0005-0000-0000-00006F570000}"/>
    <cellStyle name="Normal 260 2 2 2" xfId="22384" xr:uid="{00000000-0005-0000-0000-000070570000}"/>
    <cellStyle name="Normal 260 2 2 2 2" xfId="22385" xr:uid="{00000000-0005-0000-0000-000071570000}"/>
    <cellStyle name="Normal 260 2 2 3" xfId="22386" xr:uid="{00000000-0005-0000-0000-000072570000}"/>
    <cellStyle name="Normal 260 2 2 3 2" xfId="22387" xr:uid="{00000000-0005-0000-0000-000073570000}"/>
    <cellStyle name="Normal 260 2 2 3 2 2" xfId="22388" xr:uid="{00000000-0005-0000-0000-000074570000}"/>
    <cellStyle name="Normal 260 2 2 3 3" xfId="22389" xr:uid="{00000000-0005-0000-0000-000075570000}"/>
    <cellStyle name="Normal 260 2 2 4" xfId="22390" xr:uid="{00000000-0005-0000-0000-000076570000}"/>
    <cellStyle name="Normal 260 2 2 4 2" xfId="22391" xr:uid="{00000000-0005-0000-0000-000077570000}"/>
    <cellStyle name="Normal 260 2 2 4 2 2" xfId="22392" xr:uid="{00000000-0005-0000-0000-000078570000}"/>
    <cellStyle name="Normal 260 2 2 4 3" xfId="22393" xr:uid="{00000000-0005-0000-0000-000079570000}"/>
    <cellStyle name="Normal 260 2 2 5" xfId="22394" xr:uid="{00000000-0005-0000-0000-00007A570000}"/>
    <cellStyle name="Normal 260 2 3" xfId="22395" xr:uid="{00000000-0005-0000-0000-00007B570000}"/>
    <cellStyle name="Normal 260 2 3 2" xfId="22396" xr:uid="{00000000-0005-0000-0000-00007C570000}"/>
    <cellStyle name="Normal 260 2 3 2 2" xfId="22397" xr:uid="{00000000-0005-0000-0000-00007D570000}"/>
    <cellStyle name="Normal 260 2 3 2 2 2" xfId="22398" xr:uid="{00000000-0005-0000-0000-00007E570000}"/>
    <cellStyle name="Normal 260 2 3 2 3" xfId="22399" xr:uid="{00000000-0005-0000-0000-00007F570000}"/>
    <cellStyle name="Normal 260 2 3 2 3 2" xfId="22400" xr:uid="{00000000-0005-0000-0000-000080570000}"/>
    <cellStyle name="Normal 260 2 3 2 3 2 2" xfId="22401" xr:uid="{00000000-0005-0000-0000-000081570000}"/>
    <cellStyle name="Normal 260 2 3 2 3 3" xfId="22402" xr:uid="{00000000-0005-0000-0000-000082570000}"/>
    <cellStyle name="Normal 260 2 3 2 4" xfId="22403" xr:uid="{00000000-0005-0000-0000-000083570000}"/>
    <cellStyle name="Normal 260 2 3 3" xfId="22404" xr:uid="{00000000-0005-0000-0000-000084570000}"/>
    <cellStyle name="Normal 260 2 3 3 2" xfId="22405" xr:uid="{00000000-0005-0000-0000-000085570000}"/>
    <cellStyle name="Normal 260 2 3 3 2 2" xfId="22406" xr:uid="{00000000-0005-0000-0000-000086570000}"/>
    <cellStyle name="Normal 260 2 3 3 3" xfId="22407" xr:uid="{00000000-0005-0000-0000-000087570000}"/>
    <cellStyle name="Normal 260 2 3 4" xfId="22408" xr:uid="{00000000-0005-0000-0000-000088570000}"/>
    <cellStyle name="Normal 260 2 3 4 2" xfId="22409" xr:uid="{00000000-0005-0000-0000-000089570000}"/>
    <cellStyle name="Normal 260 2 3 4 2 2" xfId="22410" xr:uid="{00000000-0005-0000-0000-00008A570000}"/>
    <cellStyle name="Normal 260 2 3 4 3" xfId="22411" xr:uid="{00000000-0005-0000-0000-00008B570000}"/>
    <cellStyle name="Normal 260 2 3 5" xfId="22412" xr:uid="{00000000-0005-0000-0000-00008C570000}"/>
    <cellStyle name="Normal 260 2 3 5 2" xfId="22413" xr:uid="{00000000-0005-0000-0000-00008D570000}"/>
    <cellStyle name="Normal 260 2 3 5 2 2" xfId="22414" xr:uid="{00000000-0005-0000-0000-00008E570000}"/>
    <cellStyle name="Normal 260 2 3 5 3" xfId="22415" xr:uid="{00000000-0005-0000-0000-00008F570000}"/>
    <cellStyle name="Normal 260 2 3 6" xfId="22416" xr:uid="{00000000-0005-0000-0000-000090570000}"/>
    <cellStyle name="Normal 260 2 4" xfId="22417" xr:uid="{00000000-0005-0000-0000-000091570000}"/>
    <cellStyle name="Normal 260 2 4 2" xfId="22418" xr:uid="{00000000-0005-0000-0000-000092570000}"/>
    <cellStyle name="Normal 260 2 4 2 2" xfId="22419" xr:uid="{00000000-0005-0000-0000-000093570000}"/>
    <cellStyle name="Normal 260 2 4 3" xfId="22420" xr:uid="{00000000-0005-0000-0000-000094570000}"/>
    <cellStyle name="Normal 260 2 5" xfId="22421" xr:uid="{00000000-0005-0000-0000-000095570000}"/>
    <cellStyle name="Normal 260 2 5 2" xfId="22422" xr:uid="{00000000-0005-0000-0000-000096570000}"/>
    <cellStyle name="Normal 260 2 5 2 2" xfId="22423" xr:uid="{00000000-0005-0000-0000-000097570000}"/>
    <cellStyle name="Normal 260 2 5 3" xfId="22424" xr:uid="{00000000-0005-0000-0000-000098570000}"/>
    <cellStyle name="Normal 260 2 6" xfId="22425" xr:uid="{00000000-0005-0000-0000-000099570000}"/>
    <cellStyle name="Normal 260 2 6 2" xfId="22426" xr:uid="{00000000-0005-0000-0000-00009A570000}"/>
    <cellStyle name="Normal 260 2 6 2 2" xfId="22427" xr:uid="{00000000-0005-0000-0000-00009B570000}"/>
    <cellStyle name="Normal 260 2 6 3" xfId="22428" xr:uid="{00000000-0005-0000-0000-00009C570000}"/>
    <cellStyle name="Normal 260 2 7" xfId="22429" xr:uid="{00000000-0005-0000-0000-00009D570000}"/>
    <cellStyle name="Normal 260 3" xfId="22430" xr:uid="{00000000-0005-0000-0000-00009E570000}"/>
    <cellStyle name="Normal 260 3 2" xfId="22431" xr:uid="{00000000-0005-0000-0000-00009F570000}"/>
    <cellStyle name="Normal 260 3 2 2" xfId="22432" xr:uid="{00000000-0005-0000-0000-0000A0570000}"/>
    <cellStyle name="Normal 260 3 3" xfId="22433" xr:uid="{00000000-0005-0000-0000-0000A1570000}"/>
    <cellStyle name="Normal 260 3 3 2" xfId="22434" xr:uid="{00000000-0005-0000-0000-0000A2570000}"/>
    <cellStyle name="Normal 260 3 3 2 2" xfId="22435" xr:uid="{00000000-0005-0000-0000-0000A3570000}"/>
    <cellStyle name="Normal 260 3 3 3" xfId="22436" xr:uid="{00000000-0005-0000-0000-0000A4570000}"/>
    <cellStyle name="Normal 260 3 4" xfId="22437" xr:uid="{00000000-0005-0000-0000-0000A5570000}"/>
    <cellStyle name="Normal 260 3 4 2" xfId="22438" xr:uid="{00000000-0005-0000-0000-0000A6570000}"/>
    <cellStyle name="Normal 260 3 4 2 2" xfId="22439" xr:uid="{00000000-0005-0000-0000-0000A7570000}"/>
    <cellStyle name="Normal 260 3 4 3" xfId="22440" xr:uid="{00000000-0005-0000-0000-0000A8570000}"/>
    <cellStyle name="Normal 260 3 5" xfId="22441" xr:uid="{00000000-0005-0000-0000-0000A9570000}"/>
    <cellStyle name="Normal 260 4" xfId="22442" xr:uid="{00000000-0005-0000-0000-0000AA570000}"/>
    <cellStyle name="Normal 260 4 2" xfId="22443" xr:uid="{00000000-0005-0000-0000-0000AB570000}"/>
    <cellStyle name="Normal 260 4 2 2" xfId="22444" xr:uid="{00000000-0005-0000-0000-0000AC570000}"/>
    <cellStyle name="Normal 260 4 2 2 2" xfId="22445" xr:uid="{00000000-0005-0000-0000-0000AD570000}"/>
    <cellStyle name="Normal 260 4 2 3" xfId="22446" xr:uid="{00000000-0005-0000-0000-0000AE570000}"/>
    <cellStyle name="Normal 260 4 2 3 2" xfId="22447" xr:uid="{00000000-0005-0000-0000-0000AF570000}"/>
    <cellStyle name="Normal 260 4 2 3 2 2" xfId="22448" xr:uid="{00000000-0005-0000-0000-0000B0570000}"/>
    <cellStyle name="Normal 260 4 2 3 3" xfId="22449" xr:uid="{00000000-0005-0000-0000-0000B1570000}"/>
    <cellStyle name="Normal 260 4 2 4" xfId="22450" xr:uid="{00000000-0005-0000-0000-0000B2570000}"/>
    <cellStyle name="Normal 260 4 3" xfId="22451" xr:uid="{00000000-0005-0000-0000-0000B3570000}"/>
    <cellStyle name="Normal 260 4 3 2" xfId="22452" xr:uid="{00000000-0005-0000-0000-0000B4570000}"/>
    <cellStyle name="Normal 260 4 3 2 2" xfId="22453" xr:uid="{00000000-0005-0000-0000-0000B5570000}"/>
    <cellStyle name="Normal 260 4 3 3" xfId="22454" xr:uid="{00000000-0005-0000-0000-0000B6570000}"/>
    <cellStyle name="Normal 260 4 4" xfId="22455" xr:uid="{00000000-0005-0000-0000-0000B7570000}"/>
    <cellStyle name="Normal 260 4 4 2" xfId="22456" xr:uid="{00000000-0005-0000-0000-0000B8570000}"/>
    <cellStyle name="Normal 260 4 4 2 2" xfId="22457" xr:uid="{00000000-0005-0000-0000-0000B9570000}"/>
    <cellStyle name="Normal 260 4 4 3" xfId="22458" xr:uid="{00000000-0005-0000-0000-0000BA570000}"/>
    <cellStyle name="Normal 260 4 5" xfId="22459" xr:uid="{00000000-0005-0000-0000-0000BB570000}"/>
    <cellStyle name="Normal 260 4 5 2" xfId="22460" xr:uid="{00000000-0005-0000-0000-0000BC570000}"/>
    <cellStyle name="Normal 260 4 5 2 2" xfId="22461" xr:uid="{00000000-0005-0000-0000-0000BD570000}"/>
    <cellStyle name="Normal 260 4 5 3" xfId="22462" xr:uid="{00000000-0005-0000-0000-0000BE570000}"/>
    <cellStyle name="Normal 260 4 6" xfId="22463" xr:uid="{00000000-0005-0000-0000-0000BF570000}"/>
    <cellStyle name="Normal 260 5" xfId="22464" xr:uid="{00000000-0005-0000-0000-0000C0570000}"/>
    <cellStyle name="Normal 260 5 2" xfId="22465" xr:uid="{00000000-0005-0000-0000-0000C1570000}"/>
    <cellStyle name="Normal 260 5 2 2" xfId="22466" xr:uid="{00000000-0005-0000-0000-0000C2570000}"/>
    <cellStyle name="Normal 260 5 3" xfId="22467" xr:uid="{00000000-0005-0000-0000-0000C3570000}"/>
    <cellStyle name="Normal 260 6" xfId="22468" xr:uid="{00000000-0005-0000-0000-0000C4570000}"/>
    <cellStyle name="Normal 260 6 2" xfId="22469" xr:uid="{00000000-0005-0000-0000-0000C5570000}"/>
    <cellStyle name="Normal 260 6 2 2" xfId="22470" xr:uid="{00000000-0005-0000-0000-0000C6570000}"/>
    <cellStyle name="Normal 260 6 3" xfId="22471" xr:uid="{00000000-0005-0000-0000-0000C7570000}"/>
    <cellStyle name="Normal 260 7" xfId="22472" xr:uid="{00000000-0005-0000-0000-0000C8570000}"/>
    <cellStyle name="Normal 260 7 2" xfId="22473" xr:uid="{00000000-0005-0000-0000-0000C9570000}"/>
    <cellStyle name="Normal 260 7 2 2" xfId="22474" xr:uid="{00000000-0005-0000-0000-0000CA570000}"/>
    <cellStyle name="Normal 260 7 3" xfId="22475" xr:uid="{00000000-0005-0000-0000-0000CB570000}"/>
    <cellStyle name="Normal 260 8" xfId="22476" xr:uid="{00000000-0005-0000-0000-0000CC570000}"/>
    <cellStyle name="Normal 261" xfId="22477" xr:uid="{00000000-0005-0000-0000-0000CD570000}"/>
    <cellStyle name="Normal 261 2" xfId="22478" xr:uid="{00000000-0005-0000-0000-0000CE570000}"/>
    <cellStyle name="Normal 261 2 2" xfId="22479" xr:uid="{00000000-0005-0000-0000-0000CF570000}"/>
    <cellStyle name="Normal 261 2 2 2" xfId="22480" xr:uid="{00000000-0005-0000-0000-0000D0570000}"/>
    <cellStyle name="Normal 261 2 2 2 2" xfId="22481" xr:uid="{00000000-0005-0000-0000-0000D1570000}"/>
    <cellStyle name="Normal 261 2 2 3" xfId="22482" xr:uid="{00000000-0005-0000-0000-0000D2570000}"/>
    <cellStyle name="Normal 261 2 2 3 2" xfId="22483" xr:uid="{00000000-0005-0000-0000-0000D3570000}"/>
    <cellStyle name="Normal 261 2 2 3 2 2" xfId="22484" xr:uid="{00000000-0005-0000-0000-0000D4570000}"/>
    <cellStyle name="Normal 261 2 2 3 3" xfId="22485" xr:uid="{00000000-0005-0000-0000-0000D5570000}"/>
    <cellStyle name="Normal 261 2 2 4" xfId="22486" xr:uid="{00000000-0005-0000-0000-0000D6570000}"/>
    <cellStyle name="Normal 261 2 2 4 2" xfId="22487" xr:uid="{00000000-0005-0000-0000-0000D7570000}"/>
    <cellStyle name="Normal 261 2 2 4 2 2" xfId="22488" xr:uid="{00000000-0005-0000-0000-0000D8570000}"/>
    <cellStyle name="Normal 261 2 2 4 3" xfId="22489" xr:uid="{00000000-0005-0000-0000-0000D9570000}"/>
    <cellStyle name="Normal 261 2 2 5" xfId="22490" xr:uid="{00000000-0005-0000-0000-0000DA570000}"/>
    <cellStyle name="Normal 261 2 3" xfId="22491" xr:uid="{00000000-0005-0000-0000-0000DB570000}"/>
    <cellStyle name="Normal 261 2 3 2" xfId="22492" xr:uid="{00000000-0005-0000-0000-0000DC570000}"/>
    <cellStyle name="Normal 261 2 3 2 2" xfId="22493" xr:uid="{00000000-0005-0000-0000-0000DD570000}"/>
    <cellStyle name="Normal 261 2 3 2 2 2" xfId="22494" xr:uid="{00000000-0005-0000-0000-0000DE570000}"/>
    <cellStyle name="Normal 261 2 3 2 3" xfId="22495" xr:uid="{00000000-0005-0000-0000-0000DF570000}"/>
    <cellStyle name="Normal 261 2 3 2 3 2" xfId="22496" xr:uid="{00000000-0005-0000-0000-0000E0570000}"/>
    <cellStyle name="Normal 261 2 3 2 3 2 2" xfId="22497" xr:uid="{00000000-0005-0000-0000-0000E1570000}"/>
    <cellStyle name="Normal 261 2 3 2 3 3" xfId="22498" xr:uid="{00000000-0005-0000-0000-0000E2570000}"/>
    <cellStyle name="Normal 261 2 3 2 4" xfId="22499" xr:uid="{00000000-0005-0000-0000-0000E3570000}"/>
    <cellStyle name="Normal 261 2 3 3" xfId="22500" xr:uid="{00000000-0005-0000-0000-0000E4570000}"/>
    <cellStyle name="Normal 261 2 3 3 2" xfId="22501" xr:uid="{00000000-0005-0000-0000-0000E5570000}"/>
    <cellStyle name="Normal 261 2 3 3 2 2" xfId="22502" xr:uid="{00000000-0005-0000-0000-0000E6570000}"/>
    <cellStyle name="Normal 261 2 3 3 3" xfId="22503" xr:uid="{00000000-0005-0000-0000-0000E7570000}"/>
    <cellStyle name="Normal 261 2 3 4" xfId="22504" xr:uid="{00000000-0005-0000-0000-0000E8570000}"/>
    <cellStyle name="Normal 261 2 3 4 2" xfId="22505" xr:uid="{00000000-0005-0000-0000-0000E9570000}"/>
    <cellStyle name="Normal 261 2 3 4 2 2" xfId="22506" xr:uid="{00000000-0005-0000-0000-0000EA570000}"/>
    <cellStyle name="Normal 261 2 3 4 3" xfId="22507" xr:uid="{00000000-0005-0000-0000-0000EB570000}"/>
    <cellStyle name="Normal 261 2 3 5" xfId="22508" xr:uid="{00000000-0005-0000-0000-0000EC570000}"/>
    <cellStyle name="Normal 261 2 3 5 2" xfId="22509" xr:uid="{00000000-0005-0000-0000-0000ED570000}"/>
    <cellStyle name="Normal 261 2 3 5 2 2" xfId="22510" xr:uid="{00000000-0005-0000-0000-0000EE570000}"/>
    <cellStyle name="Normal 261 2 3 5 3" xfId="22511" xr:uid="{00000000-0005-0000-0000-0000EF570000}"/>
    <cellStyle name="Normal 261 2 3 6" xfId="22512" xr:uid="{00000000-0005-0000-0000-0000F0570000}"/>
    <cellStyle name="Normal 261 2 4" xfId="22513" xr:uid="{00000000-0005-0000-0000-0000F1570000}"/>
    <cellStyle name="Normal 261 2 4 2" xfId="22514" xr:uid="{00000000-0005-0000-0000-0000F2570000}"/>
    <cellStyle name="Normal 261 2 4 2 2" xfId="22515" xr:uid="{00000000-0005-0000-0000-0000F3570000}"/>
    <cellStyle name="Normal 261 2 4 3" xfId="22516" xr:uid="{00000000-0005-0000-0000-0000F4570000}"/>
    <cellStyle name="Normal 261 2 5" xfId="22517" xr:uid="{00000000-0005-0000-0000-0000F5570000}"/>
    <cellStyle name="Normal 261 2 5 2" xfId="22518" xr:uid="{00000000-0005-0000-0000-0000F6570000}"/>
    <cellStyle name="Normal 261 2 5 2 2" xfId="22519" xr:uid="{00000000-0005-0000-0000-0000F7570000}"/>
    <cellStyle name="Normal 261 2 5 3" xfId="22520" xr:uid="{00000000-0005-0000-0000-0000F8570000}"/>
    <cellStyle name="Normal 261 2 6" xfId="22521" xr:uid="{00000000-0005-0000-0000-0000F9570000}"/>
    <cellStyle name="Normal 261 2 6 2" xfId="22522" xr:uid="{00000000-0005-0000-0000-0000FA570000}"/>
    <cellStyle name="Normal 261 2 6 2 2" xfId="22523" xr:uid="{00000000-0005-0000-0000-0000FB570000}"/>
    <cellStyle name="Normal 261 2 6 3" xfId="22524" xr:uid="{00000000-0005-0000-0000-0000FC570000}"/>
    <cellStyle name="Normal 261 2 7" xfId="22525" xr:uid="{00000000-0005-0000-0000-0000FD570000}"/>
    <cellStyle name="Normal 261 3" xfId="22526" xr:uid="{00000000-0005-0000-0000-0000FE570000}"/>
    <cellStyle name="Normal 261 3 2" xfId="22527" xr:uid="{00000000-0005-0000-0000-0000FF570000}"/>
    <cellStyle name="Normal 261 3 2 2" xfId="22528" xr:uid="{00000000-0005-0000-0000-000000580000}"/>
    <cellStyle name="Normal 261 3 3" xfId="22529" xr:uid="{00000000-0005-0000-0000-000001580000}"/>
    <cellStyle name="Normal 261 3 3 2" xfId="22530" xr:uid="{00000000-0005-0000-0000-000002580000}"/>
    <cellStyle name="Normal 261 3 3 2 2" xfId="22531" xr:uid="{00000000-0005-0000-0000-000003580000}"/>
    <cellStyle name="Normal 261 3 3 3" xfId="22532" xr:uid="{00000000-0005-0000-0000-000004580000}"/>
    <cellStyle name="Normal 261 3 4" xfId="22533" xr:uid="{00000000-0005-0000-0000-000005580000}"/>
    <cellStyle name="Normal 261 3 4 2" xfId="22534" xr:uid="{00000000-0005-0000-0000-000006580000}"/>
    <cellStyle name="Normal 261 3 4 2 2" xfId="22535" xr:uid="{00000000-0005-0000-0000-000007580000}"/>
    <cellStyle name="Normal 261 3 4 3" xfId="22536" xr:uid="{00000000-0005-0000-0000-000008580000}"/>
    <cellStyle name="Normal 261 3 5" xfId="22537" xr:uid="{00000000-0005-0000-0000-000009580000}"/>
    <cellStyle name="Normal 261 4" xfId="22538" xr:uid="{00000000-0005-0000-0000-00000A580000}"/>
    <cellStyle name="Normal 261 4 2" xfId="22539" xr:uid="{00000000-0005-0000-0000-00000B580000}"/>
    <cellStyle name="Normal 261 4 2 2" xfId="22540" xr:uid="{00000000-0005-0000-0000-00000C580000}"/>
    <cellStyle name="Normal 261 4 2 2 2" xfId="22541" xr:uid="{00000000-0005-0000-0000-00000D580000}"/>
    <cellStyle name="Normal 261 4 2 3" xfId="22542" xr:uid="{00000000-0005-0000-0000-00000E580000}"/>
    <cellStyle name="Normal 261 4 2 3 2" xfId="22543" xr:uid="{00000000-0005-0000-0000-00000F580000}"/>
    <cellStyle name="Normal 261 4 2 3 2 2" xfId="22544" xr:uid="{00000000-0005-0000-0000-000010580000}"/>
    <cellStyle name="Normal 261 4 2 3 3" xfId="22545" xr:uid="{00000000-0005-0000-0000-000011580000}"/>
    <cellStyle name="Normal 261 4 2 4" xfId="22546" xr:uid="{00000000-0005-0000-0000-000012580000}"/>
    <cellStyle name="Normal 261 4 3" xfId="22547" xr:uid="{00000000-0005-0000-0000-000013580000}"/>
    <cellStyle name="Normal 261 4 3 2" xfId="22548" xr:uid="{00000000-0005-0000-0000-000014580000}"/>
    <cellStyle name="Normal 261 4 3 2 2" xfId="22549" xr:uid="{00000000-0005-0000-0000-000015580000}"/>
    <cellStyle name="Normal 261 4 3 3" xfId="22550" xr:uid="{00000000-0005-0000-0000-000016580000}"/>
    <cellStyle name="Normal 261 4 4" xfId="22551" xr:uid="{00000000-0005-0000-0000-000017580000}"/>
    <cellStyle name="Normal 261 4 4 2" xfId="22552" xr:uid="{00000000-0005-0000-0000-000018580000}"/>
    <cellStyle name="Normal 261 4 4 2 2" xfId="22553" xr:uid="{00000000-0005-0000-0000-000019580000}"/>
    <cellStyle name="Normal 261 4 4 3" xfId="22554" xr:uid="{00000000-0005-0000-0000-00001A580000}"/>
    <cellStyle name="Normal 261 4 5" xfId="22555" xr:uid="{00000000-0005-0000-0000-00001B580000}"/>
    <cellStyle name="Normal 261 4 5 2" xfId="22556" xr:uid="{00000000-0005-0000-0000-00001C580000}"/>
    <cellStyle name="Normal 261 4 5 2 2" xfId="22557" xr:uid="{00000000-0005-0000-0000-00001D580000}"/>
    <cellStyle name="Normal 261 4 5 3" xfId="22558" xr:uid="{00000000-0005-0000-0000-00001E580000}"/>
    <cellStyle name="Normal 261 4 6" xfId="22559" xr:uid="{00000000-0005-0000-0000-00001F580000}"/>
    <cellStyle name="Normal 261 5" xfId="22560" xr:uid="{00000000-0005-0000-0000-000020580000}"/>
    <cellStyle name="Normal 261 5 2" xfId="22561" xr:uid="{00000000-0005-0000-0000-000021580000}"/>
    <cellStyle name="Normal 261 5 2 2" xfId="22562" xr:uid="{00000000-0005-0000-0000-000022580000}"/>
    <cellStyle name="Normal 261 5 3" xfId="22563" xr:uid="{00000000-0005-0000-0000-000023580000}"/>
    <cellStyle name="Normal 261 6" xfId="22564" xr:uid="{00000000-0005-0000-0000-000024580000}"/>
    <cellStyle name="Normal 261 6 2" xfId="22565" xr:uid="{00000000-0005-0000-0000-000025580000}"/>
    <cellStyle name="Normal 261 6 2 2" xfId="22566" xr:uid="{00000000-0005-0000-0000-000026580000}"/>
    <cellStyle name="Normal 261 6 3" xfId="22567" xr:uid="{00000000-0005-0000-0000-000027580000}"/>
    <cellStyle name="Normal 261 7" xfId="22568" xr:uid="{00000000-0005-0000-0000-000028580000}"/>
    <cellStyle name="Normal 261 7 2" xfId="22569" xr:uid="{00000000-0005-0000-0000-000029580000}"/>
    <cellStyle name="Normal 261 7 2 2" xfId="22570" xr:uid="{00000000-0005-0000-0000-00002A580000}"/>
    <cellStyle name="Normal 261 7 3" xfId="22571" xr:uid="{00000000-0005-0000-0000-00002B580000}"/>
    <cellStyle name="Normal 261 8" xfId="22572" xr:uid="{00000000-0005-0000-0000-00002C580000}"/>
    <cellStyle name="Normal 262" xfId="22573" xr:uid="{00000000-0005-0000-0000-00002D580000}"/>
    <cellStyle name="Normal 262 2" xfId="22574" xr:uid="{00000000-0005-0000-0000-00002E580000}"/>
    <cellStyle name="Normal 262 2 2" xfId="22575" xr:uid="{00000000-0005-0000-0000-00002F580000}"/>
    <cellStyle name="Normal 262 2 2 2" xfId="22576" xr:uid="{00000000-0005-0000-0000-000030580000}"/>
    <cellStyle name="Normal 262 2 2 2 2" xfId="22577" xr:uid="{00000000-0005-0000-0000-000031580000}"/>
    <cellStyle name="Normal 262 2 2 3" xfId="22578" xr:uid="{00000000-0005-0000-0000-000032580000}"/>
    <cellStyle name="Normal 262 2 2 3 2" xfId="22579" xr:uid="{00000000-0005-0000-0000-000033580000}"/>
    <cellStyle name="Normal 262 2 2 3 2 2" xfId="22580" xr:uid="{00000000-0005-0000-0000-000034580000}"/>
    <cellStyle name="Normal 262 2 2 3 3" xfId="22581" xr:uid="{00000000-0005-0000-0000-000035580000}"/>
    <cellStyle name="Normal 262 2 2 4" xfId="22582" xr:uid="{00000000-0005-0000-0000-000036580000}"/>
    <cellStyle name="Normal 262 2 2 4 2" xfId="22583" xr:uid="{00000000-0005-0000-0000-000037580000}"/>
    <cellStyle name="Normal 262 2 2 4 2 2" xfId="22584" xr:uid="{00000000-0005-0000-0000-000038580000}"/>
    <cellStyle name="Normal 262 2 2 4 3" xfId="22585" xr:uid="{00000000-0005-0000-0000-000039580000}"/>
    <cellStyle name="Normal 262 2 2 5" xfId="22586" xr:uid="{00000000-0005-0000-0000-00003A580000}"/>
    <cellStyle name="Normal 262 2 3" xfId="22587" xr:uid="{00000000-0005-0000-0000-00003B580000}"/>
    <cellStyle name="Normal 262 2 3 2" xfId="22588" xr:uid="{00000000-0005-0000-0000-00003C580000}"/>
    <cellStyle name="Normal 262 2 3 2 2" xfId="22589" xr:uid="{00000000-0005-0000-0000-00003D580000}"/>
    <cellStyle name="Normal 262 2 3 2 2 2" xfId="22590" xr:uid="{00000000-0005-0000-0000-00003E580000}"/>
    <cellStyle name="Normal 262 2 3 2 3" xfId="22591" xr:uid="{00000000-0005-0000-0000-00003F580000}"/>
    <cellStyle name="Normal 262 2 3 2 3 2" xfId="22592" xr:uid="{00000000-0005-0000-0000-000040580000}"/>
    <cellStyle name="Normal 262 2 3 2 3 2 2" xfId="22593" xr:uid="{00000000-0005-0000-0000-000041580000}"/>
    <cellStyle name="Normal 262 2 3 2 3 3" xfId="22594" xr:uid="{00000000-0005-0000-0000-000042580000}"/>
    <cellStyle name="Normal 262 2 3 2 4" xfId="22595" xr:uid="{00000000-0005-0000-0000-000043580000}"/>
    <cellStyle name="Normal 262 2 3 3" xfId="22596" xr:uid="{00000000-0005-0000-0000-000044580000}"/>
    <cellStyle name="Normal 262 2 3 3 2" xfId="22597" xr:uid="{00000000-0005-0000-0000-000045580000}"/>
    <cellStyle name="Normal 262 2 3 3 2 2" xfId="22598" xr:uid="{00000000-0005-0000-0000-000046580000}"/>
    <cellStyle name="Normal 262 2 3 3 3" xfId="22599" xr:uid="{00000000-0005-0000-0000-000047580000}"/>
    <cellStyle name="Normal 262 2 3 4" xfId="22600" xr:uid="{00000000-0005-0000-0000-000048580000}"/>
    <cellStyle name="Normal 262 2 3 4 2" xfId="22601" xr:uid="{00000000-0005-0000-0000-000049580000}"/>
    <cellStyle name="Normal 262 2 3 4 2 2" xfId="22602" xr:uid="{00000000-0005-0000-0000-00004A580000}"/>
    <cellStyle name="Normal 262 2 3 4 3" xfId="22603" xr:uid="{00000000-0005-0000-0000-00004B580000}"/>
    <cellStyle name="Normal 262 2 3 5" xfId="22604" xr:uid="{00000000-0005-0000-0000-00004C580000}"/>
    <cellStyle name="Normal 262 2 3 5 2" xfId="22605" xr:uid="{00000000-0005-0000-0000-00004D580000}"/>
    <cellStyle name="Normal 262 2 3 5 2 2" xfId="22606" xr:uid="{00000000-0005-0000-0000-00004E580000}"/>
    <cellStyle name="Normal 262 2 3 5 3" xfId="22607" xr:uid="{00000000-0005-0000-0000-00004F580000}"/>
    <cellStyle name="Normal 262 2 3 6" xfId="22608" xr:uid="{00000000-0005-0000-0000-000050580000}"/>
    <cellStyle name="Normal 262 2 4" xfId="22609" xr:uid="{00000000-0005-0000-0000-000051580000}"/>
    <cellStyle name="Normal 262 2 4 2" xfId="22610" xr:uid="{00000000-0005-0000-0000-000052580000}"/>
    <cellStyle name="Normal 262 2 4 2 2" xfId="22611" xr:uid="{00000000-0005-0000-0000-000053580000}"/>
    <cellStyle name="Normal 262 2 4 3" xfId="22612" xr:uid="{00000000-0005-0000-0000-000054580000}"/>
    <cellStyle name="Normal 262 2 5" xfId="22613" xr:uid="{00000000-0005-0000-0000-000055580000}"/>
    <cellStyle name="Normal 262 2 5 2" xfId="22614" xr:uid="{00000000-0005-0000-0000-000056580000}"/>
    <cellStyle name="Normal 262 2 5 2 2" xfId="22615" xr:uid="{00000000-0005-0000-0000-000057580000}"/>
    <cellStyle name="Normal 262 2 5 3" xfId="22616" xr:uid="{00000000-0005-0000-0000-000058580000}"/>
    <cellStyle name="Normal 262 2 6" xfId="22617" xr:uid="{00000000-0005-0000-0000-000059580000}"/>
    <cellStyle name="Normal 262 2 6 2" xfId="22618" xr:uid="{00000000-0005-0000-0000-00005A580000}"/>
    <cellStyle name="Normal 262 2 6 2 2" xfId="22619" xr:uid="{00000000-0005-0000-0000-00005B580000}"/>
    <cellStyle name="Normal 262 2 6 3" xfId="22620" xr:uid="{00000000-0005-0000-0000-00005C580000}"/>
    <cellStyle name="Normal 262 2 7" xfId="22621" xr:uid="{00000000-0005-0000-0000-00005D580000}"/>
    <cellStyle name="Normal 262 3" xfId="22622" xr:uid="{00000000-0005-0000-0000-00005E580000}"/>
    <cellStyle name="Normal 262 3 2" xfId="22623" xr:uid="{00000000-0005-0000-0000-00005F580000}"/>
    <cellStyle name="Normal 262 3 2 2" xfId="22624" xr:uid="{00000000-0005-0000-0000-000060580000}"/>
    <cellStyle name="Normal 262 3 3" xfId="22625" xr:uid="{00000000-0005-0000-0000-000061580000}"/>
    <cellStyle name="Normal 262 3 3 2" xfId="22626" xr:uid="{00000000-0005-0000-0000-000062580000}"/>
    <cellStyle name="Normal 262 3 3 2 2" xfId="22627" xr:uid="{00000000-0005-0000-0000-000063580000}"/>
    <cellStyle name="Normal 262 3 3 3" xfId="22628" xr:uid="{00000000-0005-0000-0000-000064580000}"/>
    <cellStyle name="Normal 262 3 4" xfId="22629" xr:uid="{00000000-0005-0000-0000-000065580000}"/>
    <cellStyle name="Normal 262 3 4 2" xfId="22630" xr:uid="{00000000-0005-0000-0000-000066580000}"/>
    <cellStyle name="Normal 262 3 4 2 2" xfId="22631" xr:uid="{00000000-0005-0000-0000-000067580000}"/>
    <cellStyle name="Normal 262 3 4 3" xfId="22632" xr:uid="{00000000-0005-0000-0000-000068580000}"/>
    <cellStyle name="Normal 262 3 5" xfId="22633" xr:uid="{00000000-0005-0000-0000-000069580000}"/>
    <cellStyle name="Normal 262 4" xfId="22634" xr:uid="{00000000-0005-0000-0000-00006A580000}"/>
    <cellStyle name="Normal 262 4 2" xfId="22635" xr:uid="{00000000-0005-0000-0000-00006B580000}"/>
    <cellStyle name="Normal 262 4 2 2" xfId="22636" xr:uid="{00000000-0005-0000-0000-00006C580000}"/>
    <cellStyle name="Normal 262 4 2 2 2" xfId="22637" xr:uid="{00000000-0005-0000-0000-00006D580000}"/>
    <cellStyle name="Normal 262 4 2 3" xfId="22638" xr:uid="{00000000-0005-0000-0000-00006E580000}"/>
    <cellStyle name="Normal 262 4 2 3 2" xfId="22639" xr:uid="{00000000-0005-0000-0000-00006F580000}"/>
    <cellStyle name="Normal 262 4 2 3 2 2" xfId="22640" xr:uid="{00000000-0005-0000-0000-000070580000}"/>
    <cellStyle name="Normal 262 4 2 3 3" xfId="22641" xr:uid="{00000000-0005-0000-0000-000071580000}"/>
    <cellStyle name="Normal 262 4 2 4" xfId="22642" xr:uid="{00000000-0005-0000-0000-000072580000}"/>
    <cellStyle name="Normal 262 4 3" xfId="22643" xr:uid="{00000000-0005-0000-0000-000073580000}"/>
    <cellStyle name="Normal 262 4 3 2" xfId="22644" xr:uid="{00000000-0005-0000-0000-000074580000}"/>
    <cellStyle name="Normal 262 4 3 2 2" xfId="22645" xr:uid="{00000000-0005-0000-0000-000075580000}"/>
    <cellStyle name="Normal 262 4 3 3" xfId="22646" xr:uid="{00000000-0005-0000-0000-000076580000}"/>
    <cellStyle name="Normal 262 4 4" xfId="22647" xr:uid="{00000000-0005-0000-0000-000077580000}"/>
    <cellStyle name="Normal 262 4 4 2" xfId="22648" xr:uid="{00000000-0005-0000-0000-000078580000}"/>
    <cellStyle name="Normal 262 4 4 2 2" xfId="22649" xr:uid="{00000000-0005-0000-0000-000079580000}"/>
    <cellStyle name="Normal 262 4 4 3" xfId="22650" xr:uid="{00000000-0005-0000-0000-00007A580000}"/>
    <cellStyle name="Normal 262 4 5" xfId="22651" xr:uid="{00000000-0005-0000-0000-00007B580000}"/>
    <cellStyle name="Normal 262 4 5 2" xfId="22652" xr:uid="{00000000-0005-0000-0000-00007C580000}"/>
    <cellStyle name="Normal 262 4 5 2 2" xfId="22653" xr:uid="{00000000-0005-0000-0000-00007D580000}"/>
    <cellStyle name="Normal 262 4 5 3" xfId="22654" xr:uid="{00000000-0005-0000-0000-00007E580000}"/>
    <cellStyle name="Normal 262 4 6" xfId="22655" xr:uid="{00000000-0005-0000-0000-00007F580000}"/>
    <cellStyle name="Normal 262 5" xfId="22656" xr:uid="{00000000-0005-0000-0000-000080580000}"/>
    <cellStyle name="Normal 262 5 2" xfId="22657" xr:uid="{00000000-0005-0000-0000-000081580000}"/>
    <cellStyle name="Normal 262 5 2 2" xfId="22658" xr:uid="{00000000-0005-0000-0000-000082580000}"/>
    <cellStyle name="Normal 262 5 3" xfId="22659" xr:uid="{00000000-0005-0000-0000-000083580000}"/>
    <cellStyle name="Normal 262 6" xfId="22660" xr:uid="{00000000-0005-0000-0000-000084580000}"/>
    <cellStyle name="Normal 262 6 2" xfId="22661" xr:uid="{00000000-0005-0000-0000-000085580000}"/>
    <cellStyle name="Normal 262 6 2 2" xfId="22662" xr:uid="{00000000-0005-0000-0000-000086580000}"/>
    <cellStyle name="Normal 262 6 3" xfId="22663" xr:uid="{00000000-0005-0000-0000-000087580000}"/>
    <cellStyle name="Normal 262 7" xfId="22664" xr:uid="{00000000-0005-0000-0000-000088580000}"/>
    <cellStyle name="Normal 262 7 2" xfId="22665" xr:uid="{00000000-0005-0000-0000-000089580000}"/>
    <cellStyle name="Normal 262 7 2 2" xfId="22666" xr:uid="{00000000-0005-0000-0000-00008A580000}"/>
    <cellStyle name="Normal 262 7 3" xfId="22667" xr:uid="{00000000-0005-0000-0000-00008B580000}"/>
    <cellStyle name="Normal 262 8" xfId="22668" xr:uid="{00000000-0005-0000-0000-00008C580000}"/>
    <cellStyle name="Normal 263" xfId="22669" xr:uid="{00000000-0005-0000-0000-00008D580000}"/>
    <cellStyle name="Normal 263 2" xfId="22670" xr:uid="{00000000-0005-0000-0000-00008E580000}"/>
    <cellStyle name="Normal 263 2 2" xfId="22671" xr:uid="{00000000-0005-0000-0000-00008F580000}"/>
    <cellStyle name="Normal 263 2 2 2" xfId="22672" xr:uid="{00000000-0005-0000-0000-000090580000}"/>
    <cellStyle name="Normal 263 2 2 2 2" xfId="22673" xr:uid="{00000000-0005-0000-0000-000091580000}"/>
    <cellStyle name="Normal 263 2 2 3" xfId="22674" xr:uid="{00000000-0005-0000-0000-000092580000}"/>
    <cellStyle name="Normal 263 2 2 3 2" xfId="22675" xr:uid="{00000000-0005-0000-0000-000093580000}"/>
    <cellStyle name="Normal 263 2 2 3 2 2" xfId="22676" xr:uid="{00000000-0005-0000-0000-000094580000}"/>
    <cellStyle name="Normal 263 2 2 3 3" xfId="22677" xr:uid="{00000000-0005-0000-0000-000095580000}"/>
    <cellStyle name="Normal 263 2 2 4" xfId="22678" xr:uid="{00000000-0005-0000-0000-000096580000}"/>
    <cellStyle name="Normal 263 2 2 4 2" xfId="22679" xr:uid="{00000000-0005-0000-0000-000097580000}"/>
    <cellStyle name="Normal 263 2 2 4 2 2" xfId="22680" xr:uid="{00000000-0005-0000-0000-000098580000}"/>
    <cellStyle name="Normal 263 2 2 4 3" xfId="22681" xr:uid="{00000000-0005-0000-0000-000099580000}"/>
    <cellStyle name="Normal 263 2 2 5" xfId="22682" xr:uid="{00000000-0005-0000-0000-00009A580000}"/>
    <cellStyle name="Normal 263 2 3" xfId="22683" xr:uid="{00000000-0005-0000-0000-00009B580000}"/>
    <cellStyle name="Normal 263 2 3 2" xfId="22684" xr:uid="{00000000-0005-0000-0000-00009C580000}"/>
    <cellStyle name="Normal 263 2 3 2 2" xfId="22685" xr:uid="{00000000-0005-0000-0000-00009D580000}"/>
    <cellStyle name="Normal 263 2 3 2 2 2" xfId="22686" xr:uid="{00000000-0005-0000-0000-00009E580000}"/>
    <cellStyle name="Normal 263 2 3 2 3" xfId="22687" xr:uid="{00000000-0005-0000-0000-00009F580000}"/>
    <cellStyle name="Normal 263 2 3 2 3 2" xfId="22688" xr:uid="{00000000-0005-0000-0000-0000A0580000}"/>
    <cellStyle name="Normal 263 2 3 2 3 2 2" xfId="22689" xr:uid="{00000000-0005-0000-0000-0000A1580000}"/>
    <cellStyle name="Normal 263 2 3 2 3 3" xfId="22690" xr:uid="{00000000-0005-0000-0000-0000A2580000}"/>
    <cellStyle name="Normal 263 2 3 2 4" xfId="22691" xr:uid="{00000000-0005-0000-0000-0000A3580000}"/>
    <cellStyle name="Normal 263 2 3 3" xfId="22692" xr:uid="{00000000-0005-0000-0000-0000A4580000}"/>
    <cellStyle name="Normal 263 2 3 3 2" xfId="22693" xr:uid="{00000000-0005-0000-0000-0000A5580000}"/>
    <cellStyle name="Normal 263 2 3 3 2 2" xfId="22694" xr:uid="{00000000-0005-0000-0000-0000A6580000}"/>
    <cellStyle name="Normal 263 2 3 3 3" xfId="22695" xr:uid="{00000000-0005-0000-0000-0000A7580000}"/>
    <cellStyle name="Normal 263 2 3 4" xfId="22696" xr:uid="{00000000-0005-0000-0000-0000A8580000}"/>
    <cellStyle name="Normal 263 2 3 4 2" xfId="22697" xr:uid="{00000000-0005-0000-0000-0000A9580000}"/>
    <cellStyle name="Normal 263 2 3 4 2 2" xfId="22698" xr:uid="{00000000-0005-0000-0000-0000AA580000}"/>
    <cellStyle name="Normal 263 2 3 4 3" xfId="22699" xr:uid="{00000000-0005-0000-0000-0000AB580000}"/>
    <cellStyle name="Normal 263 2 3 5" xfId="22700" xr:uid="{00000000-0005-0000-0000-0000AC580000}"/>
    <cellStyle name="Normal 263 2 3 5 2" xfId="22701" xr:uid="{00000000-0005-0000-0000-0000AD580000}"/>
    <cellStyle name="Normal 263 2 3 5 2 2" xfId="22702" xr:uid="{00000000-0005-0000-0000-0000AE580000}"/>
    <cellStyle name="Normal 263 2 3 5 3" xfId="22703" xr:uid="{00000000-0005-0000-0000-0000AF580000}"/>
    <cellStyle name="Normal 263 2 3 6" xfId="22704" xr:uid="{00000000-0005-0000-0000-0000B0580000}"/>
    <cellStyle name="Normal 263 2 4" xfId="22705" xr:uid="{00000000-0005-0000-0000-0000B1580000}"/>
    <cellStyle name="Normal 263 2 4 2" xfId="22706" xr:uid="{00000000-0005-0000-0000-0000B2580000}"/>
    <cellStyle name="Normal 263 2 4 2 2" xfId="22707" xr:uid="{00000000-0005-0000-0000-0000B3580000}"/>
    <cellStyle name="Normal 263 2 4 3" xfId="22708" xr:uid="{00000000-0005-0000-0000-0000B4580000}"/>
    <cellStyle name="Normal 263 2 5" xfId="22709" xr:uid="{00000000-0005-0000-0000-0000B5580000}"/>
    <cellStyle name="Normal 263 2 5 2" xfId="22710" xr:uid="{00000000-0005-0000-0000-0000B6580000}"/>
    <cellStyle name="Normal 263 2 5 2 2" xfId="22711" xr:uid="{00000000-0005-0000-0000-0000B7580000}"/>
    <cellStyle name="Normal 263 2 5 3" xfId="22712" xr:uid="{00000000-0005-0000-0000-0000B8580000}"/>
    <cellStyle name="Normal 263 2 6" xfId="22713" xr:uid="{00000000-0005-0000-0000-0000B9580000}"/>
    <cellStyle name="Normal 263 2 6 2" xfId="22714" xr:uid="{00000000-0005-0000-0000-0000BA580000}"/>
    <cellStyle name="Normal 263 2 6 2 2" xfId="22715" xr:uid="{00000000-0005-0000-0000-0000BB580000}"/>
    <cellStyle name="Normal 263 2 6 3" xfId="22716" xr:uid="{00000000-0005-0000-0000-0000BC580000}"/>
    <cellStyle name="Normal 263 2 7" xfId="22717" xr:uid="{00000000-0005-0000-0000-0000BD580000}"/>
    <cellStyle name="Normal 263 3" xfId="22718" xr:uid="{00000000-0005-0000-0000-0000BE580000}"/>
    <cellStyle name="Normal 263 3 2" xfId="22719" xr:uid="{00000000-0005-0000-0000-0000BF580000}"/>
    <cellStyle name="Normal 263 3 2 2" xfId="22720" xr:uid="{00000000-0005-0000-0000-0000C0580000}"/>
    <cellStyle name="Normal 263 3 3" xfId="22721" xr:uid="{00000000-0005-0000-0000-0000C1580000}"/>
    <cellStyle name="Normal 263 3 3 2" xfId="22722" xr:uid="{00000000-0005-0000-0000-0000C2580000}"/>
    <cellStyle name="Normal 263 3 3 2 2" xfId="22723" xr:uid="{00000000-0005-0000-0000-0000C3580000}"/>
    <cellStyle name="Normal 263 3 3 3" xfId="22724" xr:uid="{00000000-0005-0000-0000-0000C4580000}"/>
    <cellStyle name="Normal 263 3 4" xfId="22725" xr:uid="{00000000-0005-0000-0000-0000C5580000}"/>
    <cellStyle name="Normal 263 3 4 2" xfId="22726" xr:uid="{00000000-0005-0000-0000-0000C6580000}"/>
    <cellStyle name="Normal 263 3 4 2 2" xfId="22727" xr:uid="{00000000-0005-0000-0000-0000C7580000}"/>
    <cellStyle name="Normal 263 3 4 3" xfId="22728" xr:uid="{00000000-0005-0000-0000-0000C8580000}"/>
    <cellStyle name="Normal 263 3 5" xfId="22729" xr:uid="{00000000-0005-0000-0000-0000C9580000}"/>
    <cellStyle name="Normal 263 4" xfId="22730" xr:uid="{00000000-0005-0000-0000-0000CA580000}"/>
    <cellStyle name="Normal 263 4 2" xfId="22731" xr:uid="{00000000-0005-0000-0000-0000CB580000}"/>
    <cellStyle name="Normal 263 4 2 2" xfId="22732" xr:uid="{00000000-0005-0000-0000-0000CC580000}"/>
    <cellStyle name="Normal 263 4 2 2 2" xfId="22733" xr:uid="{00000000-0005-0000-0000-0000CD580000}"/>
    <cellStyle name="Normal 263 4 2 3" xfId="22734" xr:uid="{00000000-0005-0000-0000-0000CE580000}"/>
    <cellStyle name="Normal 263 4 2 3 2" xfId="22735" xr:uid="{00000000-0005-0000-0000-0000CF580000}"/>
    <cellStyle name="Normal 263 4 2 3 2 2" xfId="22736" xr:uid="{00000000-0005-0000-0000-0000D0580000}"/>
    <cellStyle name="Normal 263 4 2 3 3" xfId="22737" xr:uid="{00000000-0005-0000-0000-0000D1580000}"/>
    <cellStyle name="Normal 263 4 2 4" xfId="22738" xr:uid="{00000000-0005-0000-0000-0000D2580000}"/>
    <cellStyle name="Normal 263 4 3" xfId="22739" xr:uid="{00000000-0005-0000-0000-0000D3580000}"/>
    <cellStyle name="Normal 263 4 3 2" xfId="22740" xr:uid="{00000000-0005-0000-0000-0000D4580000}"/>
    <cellStyle name="Normal 263 4 3 2 2" xfId="22741" xr:uid="{00000000-0005-0000-0000-0000D5580000}"/>
    <cellStyle name="Normal 263 4 3 3" xfId="22742" xr:uid="{00000000-0005-0000-0000-0000D6580000}"/>
    <cellStyle name="Normal 263 4 4" xfId="22743" xr:uid="{00000000-0005-0000-0000-0000D7580000}"/>
    <cellStyle name="Normal 263 4 4 2" xfId="22744" xr:uid="{00000000-0005-0000-0000-0000D8580000}"/>
    <cellStyle name="Normal 263 4 4 2 2" xfId="22745" xr:uid="{00000000-0005-0000-0000-0000D9580000}"/>
    <cellStyle name="Normal 263 4 4 3" xfId="22746" xr:uid="{00000000-0005-0000-0000-0000DA580000}"/>
    <cellStyle name="Normal 263 4 5" xfId="22747" xr:uid="{00000000-0005-0000-0000-0000DB580000}"/>
    <cellStyle name="Normal 263 4 5 2" xfId="22748" xr:uid="{00000000-0005-0000-0000-0000DC580000}"/>
    <cellStyle name="Normal 263 4 5 2 2" xfId="22749" xr:uid="{00000000-0005-0000-0000-0000DD580000}"/>
    <cellStyle name="Normal 263 4 5 3" xfId="22750" xr:uid="{00000000-0005-0000-0000-0000DE580000}"/>
    <cellStyle name="Normal 263 4 6" xfId="22751" xr:uid="{00000000-0005-0000-0000-0000DF580000}"/>
    <cellStyle name="Normal 263 5" xfId="22752" xr:uid="{00000000-0005-0000-0000-0000E0580000}"/>
    <cellStyle name="Normal 263 5 2" xfId="22753" xr:uid="{00000000-0005-0000-0000-0000E1580000}"/>
    <cellStyle name="Normal 263 5 2 2" xfId="22754" xr:uid="{00000000-0005-0000-0000-0000E2580000}"/>
    <cellStyle name="Normal 263 5 3" xfId="22755" xr:uid="{00000000-0005-0000-0000-0000E3580000}"/>
    <cellStyle name="Normal 263 6" xfId="22756" xr:uid="{00000000-0005-0000-0000-0000E4580000}"/>
    <cellStyle name="Normal 263 6 2" xfId="22757" xr:uid="{00000000-0005-0000-0000-0000E5580000}"/>
    <cellStyle name="Normal 263 6 2 2" xfId="22758" xr:uid="{00000000-0005-0000-0000-0000E6580000}"/>
    <cellStyle name="Normal 263 6 3" xfId="22759" xr:uid="{00000000-0005-0000-0000-0000E7580000}"/>
    <cellStyle name="Normal 263 7" xfId="22760" xr:uid="{00000000-0005-0000-0000-0000E8580000}"/>
    <cellStyle name="Normal 263 7 2" xfId="22761" xr:uid="{00000000-0005-0000-0000-0000E9580000}"/>
    <cellStyle name="Normal 263 7 2 2" xfId="22762" xr:uid="{00000000-0005-0000-0000-0000EA580000}"/>
    <cellStyle name="Normal 263 7 3" xfId="22763" xr:uid="{00000000-0005-0000-0000-0000EB580000}"/>
    <cellStyle name="Normal 263 8" xfId="22764" xr:uid="{00000000-0005-0000-0000-0000EC580000}"/>
    <cellStyle name="Normal 264" xfId="22765" xr:uid="{00000000-0005-0000-0000-0000ED580000}"/>
    <cellStyle name="Normal 264 2" xfId="22766" xr:uid="{00000000-0005-0000-0000-0000EE580000}"/>
    <cellStyle name="Normal 264 2 2" xfId="22767" xr:uid="{00000000-0005-0000-0000-0000EF580000}"/>
    <cellStyle name="Normal 264 2 2 2" xfId="22768" xr:uid="{00000000-0005-0000-0000-0000F0580000}"/>
    <cellStyle name="Normal 264 2 3" xfId="22769" xr:uid="{00000000-0005-0000-0000-0000F1580000}"/>
    <cellStyle name="Normal 264 2 3 2" xfId="22770" xr:uid="{00000000-0005-0000-0000-0000F2580000}"/>
    <cellStyle name="Normal 264 2 3 2 2" xfId="22771" xr:uid="{00000000-0005-0000-0000-0000F3580000}"/>
    <cellStyle name="Normal 264 2 3 3" xfId="22772" xr:uid="{00000000-0005-0000-0000-0000F4580000}"/>
    <cellStyle name="Normal 264 2 4" xfId="22773" xr:uid="{00000000-0005-0000-0000-0000F5580000}"/>
    <cellStyle name="Normal 264 2 4 2" xfId="22774" xr:uid="{00000000-0005-0000-0000-0000F6580000}"/>
    <cellStyle name="Normal 264 2 4 2 2" xfId="22775" xr:uid="{00000000-0005-0000-0000-0000F7580000}"/>
    <cellStyle name="Normal 264 2 4 3" xfId="22776" xr:uid="{00000000-0005-0000-0000-0000F8580000}"/>
    <cellStyle name="Normal 264 2 5" xfId="22777" xr:uid="{00000000-0005-0000-0000-0000F9580000}"/>
    <cellStyle name="Normal 264 3" xfId="22778" xr:uid="{00000000-0005-0000-0000-0000FA580000}"/>
    <cellStyle name="Normal 264 3 2" xfId="22779" xr:uid="{00000000-0005-0000-0000-0000FB580000}"/>
    <cellStyle name="Normal 264 3 2 2" xfId="22780" xr:uid="{00000000-0005-0000-0000-0000FC580000}"/>
    <cellStyle name="Normal 264 3 2 2 2" xfId="22781" xr:uid="{00000000-0005-0000-0000-0000FD580000}"/>
    <cellStyle name="Normal 264 3 2 3" xfId="22782" xr:uid="{00000000-0005-0000-0000-0000FE580000}"/>
    <cellStyle name="Normal 264 3 2 3 2" xfId="22783" xr:uid="{00000000-0005-0000-0000-0000FF580000}"/>
    <cellStyle name="Normal 264 3 2 3 2 2" xfId="22784" xr:uid="{00000000-0005-0000-0000-000000590000}"/>
    <cellStyle name="Normal 264 3 2 3 3" xfId="22785" xr:uid="{00000000-0005-0000-0000-000001590000}"/>
    <cellStyle name="Normal 264 3 2 4" xfId="22786" xr:uid="{00000000-0005-0000-0000-000002590000}"/>
    <cellStyle name="Normal 264 3 3" xfId="22787" xr:uid="{00000000-0005-0000-0000-000003590000}"/>
    <cellStyle name="Normal 264 3 3 2" xfId="22788" xr:uid="{00000000-0005-0000-0000-000004590000}"/>
    <cellStyle name="Normal 264 3 3 2 2" xfId="22789" xr:uid="{00000000-0005-0000-0000-000005590000}"/>
    <cellStyle name="Normal 264 3 3 3" xfId="22790" xr:uid="{00000000-0005-0000-0000-000006590000}"/>
    <cellStyle name="Normal 264 3 4" xfId="22791" xr:uid="{00000000-0005-0000-0000-000007590000}"/>
    <cellStyle name="Normal 264 3 4 2" xfId="22792" xr:uid="{00000000-0005-0000-0000-000008590000}"/>
    <cellStyle name="Normal 264 3 4 2 2" xfId="22793" xr:uid="{00000000-0005-0000-0000-000009590000}"/>
    <cellStyle name="Normal 264 3 4 3" xfId="22794" xr:uid="{00000000-0005-0000-0000-00000A590000}"/>
    <cellStyle name="Normal 264 3 5" xfId="22795" xr:uid="{00000000-0005-0000-0000-00000B590000}"/>
    <cellStyle name="Normal 264 3 5 2" xfId="22796" xr:uid="{00000000-0005-0000-0000-00000C590000}"/>
    <cellStyle name="Normal 264 3 5 2 2" xfId="22797" xr:uid="{00000000-0005-0000-0000-00000D590000}"/>
    <cellStyle name="Normal 264 3 5 3" xfId="22798" xr:uid="{00000000-0005-0000-0000-00000E590000}"/>
    <cellStyle name="Normal 264 3 6" xfId="22799" xr:uid="{00000000-0005-0000-0000-00000F590000}"/>
    <cellStyle name="Normal 264 4" xfId="22800" xr:uid="{00000000-0005-0000-0000-000010590000}"/>
    <cellStyle name="Normal 264 4 2" xfId="22801" xr:uid="{00000000-0005-0000-0000-000011590000}"/>
    <cellStyle name="Normal 264 4 2 2" xfId="22802" xr:uid="{00000000-0005-0000-0000-000012590000}"/>
    <cellStyle name="Normal 264 4 3" xfId="22803" xr:uid="{00000000-0005-0000-0000-000013590000}"/>
    <cellStyle name="Normal 264 5" xfId="22804" xr:uid="{00000000-0005-0000-0000-000014590000}"/>
    <cellStyle name="Normal 264 5 2" xfId="22805" xr:uid="{00000000-0005-0000-0000-000015590000}"/>
    <cellStyle name="Normal 264 5 2 2" xfId="22806" xr:uid="{00000000-0005-0000-0000-000016590000}"/>
    <cellStyle name="Normal 264 5 3" xfId="22807" xr:uid="{00000000-0005-0000-0000-000017590000}"/>
    <cellStyle name="Normal 264 6" xfId="22808" xr:uid="{00000000-0005-0000-0000-000018590000}"/>
    <cellStyle name="Normal 264 6 2" xfId="22809" xr:uid="{00000000-0005-0000-0000-000019590000}"/>
    <cellStyle name="Normal 264 6 2 2" xfId="22810" xr:uid="{00000000-0005-0000-0000-00001A590000}"/>
    <cellStyle name="Normal 264 6 3" xfId="22811" xr:uid="{00000000-0005-0000-0000-00001B590000}"/>
    <cellStyle name="Normal 264 7" xfId="22812" xr:uid="{00000000-0005-0000-0000-00001C590000}"/>
    <cellStyle name="Normal 265" xfId="22813" xr:uid="{00000000-0005-0000-0000-00001D590000}"/>
    <cellStyle name="Normal 265 2" xfId="22814" xr:uid="{00000000-0005-0000-0000-00001E590000}"/>
    <cellStyle name="Normal 265 2 2" xfId="22815" xr:uid="{00000000-0005-0000-0000-00001F590000}"/>
    <cellStyle name="Normal 265 2 2 2" xfId="22816" xr:uid="{00000000-0005-0000-0000-000020590000}"/>
    <cellStyle name="Normal 265 2 3" xfId="22817" xr:uid="{00000000-0005-0000-0000-000021590000}"/>
    <cellStyle name="Normal 265 2 3 2" xfId="22818" xr:uid="{00000000-0005-0000-0000-000022590000}"/>
    <cellStyle name="Normal 265 2 3 2 2" xfId="22819" xr:uid="{00000000-0005-0000-0000-000023590000}"/>
    <cellStyle name="Normal 265 2 3 3" xfId="22820" xr:uid="{00000000-0005-0000-0000-000024590000}"/>
    <cellStyle name="Normal 265 2 4" xfId="22821" xr:uid="{00000000-0005-0000-0000-000025590000}"/>
    <cellStyle name="Normal 265 2 4 2" xfId="22822" xr:uid="{00000000-0005-0000-0000-000026590000}"/>
    <cellStyle name="Normal 265 2 4 2 2" xfId="22823" xr:uid="{00000000-0005-0000-0000-000027590000}"/>
    <cellStyle name="Normal 265 2 4 3" xfId="22824" xr:uid="{00000000-0005-0000-0000-000028590000}"/>
    <cellStyle name="Normal 265 2 5" xfId="22825" xr:uid="{00000000-0005-0000-0000-000029590000}"/>
    <cellStyle name="Normal 265 3" xfId="22826" xr:uid="{00000000-0005-0000-0000-00002A590000}"/>
    <cellStyle name="Normal 265 3 2" xfId="22827" xr:uid="{00000000-0005-0000-0000-00002B590000}"/>
    <cellStyle name="Normal 265 3 2 2" xfId="22828" xr:uid="{00000000-0005-0000-0000-00002C590000}"/>
    <cellStyle name="Normal 265 3 2 2 2" xfId="22829" xr:uid="{00000000-0005-0000-0000-00002D590000}"/>
    <cellStyle name="Normal 265 3 2 3" xfId="22830" xr:uid="{00000000-0005-0000-0000-00002E590000}"/>
    <cellStyle name="Normal 265 3 2 3 2" xfId="22831" xr:uid="{00000000-0005-0000-0000-00002F590000}"/>
    <cellStyle name="Normal 265 3 2 3 2 2" xfId="22832" xr:uid="{00000000-0005-0000-0000-000030590000}"/>
    <cellStyle name="Normal 265 3 2 3 3" xfId="22833" xr:uid="{00000000-0005-0000-0000-000031590000}"/>
    <cellStyle name="Normal 265 3 2 4" xfId="22834" xr:uid="{00000000-0005-0000-0000-000032590000}"/>
    <cellStyle name="Normal 265 3 3" xfId="22835" xr:uid="{00000000-0005-0000-0000-000033590000}"/>
    <cellStyle name="Normal 265 3 3 2" xfId="22836" xr:uid="{00000000-0005-0000-0000-000034590000}"/>
    <cellStyle name="Normal 265 3 3 2 2" xfId="22837" xr:uid="{00000000-0005-0000-0000-000035590000}"/>
    <cellStyle name="Normal 265 3 3 3" xfId="22838" xr:uid="{00000000-0005-0000-0000-000036590000}"/>
    <cellStyle name="Normal 265 3 4" xfId="22839" xr:uid="{00000000-0005-0000-0000-000037590000}"/>
    <cellStyle name="Normal 265 3 4 2" xfId="22840" xr:uid="{00000000-0005-0000-0000-000038590000}"/>
    <cellStyle name="Normal 265 3 4 2 2" xfId="22841" xr:uid="{00000000-0005-0000-0000-000039590000}"/>
    <cellStyle name="Normal 265 3 4 3" xfId="22842" xr:uid="{00000000-0005-0000-0000-00003A590000}"/>
    <cellStyle name="Normal 265 3 5" xfId="22843" xr:uid="{00000000-0005-0000-0000-00003B590000}"/>
    <cellStyle name="Normal 265 3 5 2" xfId="22844" xr:uid="{00000000-0005-0000-0000-00003C590000}"/>
    <cellStyle name="Normal 265 3 5 2 2" xfId="22845" xr:uid="{00000000-0005-0000-0000-00003D590000}"/>
    <cellStyle name="Normal 265 3 5 3" xfId="22846" xr:uid="{00000000-0005-0000-0000-00003E590000}"/>
    <cellStyle name="Normal 265 3 6" xfId="22847" xr:uid="{00000000-0005-0000-0000-00003F590000}"/>
    <cellStyle name="Normal 265 4" xfId="22848" xr:uid="{00000000-0005-0000-0000-000040590000}"/>
    <cellStyle name="Normal 265 4 2" xfId="22849" xr:uid="{00000000-0005-0000-0000-000041590000}"/>
    <cellStyle name="Normal 265 4 2 2" xfId="22850" xr:uid="{00000000-0005-0000-0000-000042590000}"/>
    <cellStyle name="Normal 265 4 3" xfId="22851" xr:uid="{00000000-0005-0000-0000-000043590000}"/>
    <cellStyle name="Normal 265 5" xfId="22852" xr:uid="{00000000-0005-0000-0000-000044590000}"/>
    <cellStyle name="Normal 265 5 2" xfId="22853" xr:uid="{00000000-0005-0000-0000-000045590000}"/>
    <cellStyle name="Normal 265 5 2 2" xfId="22854" xr:uid="{00000000-0005-0000-0000-000046590000}"/>
    <cellStyle name="Normal 265 5 3" xfId="22855" xr:uid="{00000000-0005-0000-0000-000047590000}"/>
    <cellStyle name="Normal 265 6" xfId="22856" xr:uid="{00000000-0005-0000-0000-000048590000}"/>
    <cellStyle name="Normal 265 6 2" xfId="22857" xr:uid="{00000000-0005-0000-0000-000049590000}"/>
    <cellStyle name="Normal 265 6 2 2" xfId="22858" xr:uid="{00000000-0005-0000-0000-00004A590000}"/>
    <cellStyle name="Normal 265 6 3" xfId="22859" xr:uid="{00000000-0005-0000-0000-00004B590000}"/>
    <cellStyle name="Normal 265 7" xfId="22860" xr:uid="{00000000-0005-0000-0000-00004C590000}"/>
    <cellStyle name="Normal 266" xfId="22861" xr:uid="{00000000-0005-0000-0000-00004D590000}"/>
    <cellStyle name="Normal 266 2" xfId="22862" xr:uid="{00000000-0005-0000-0000-00004E590000}"/>
    <cellStyle name="Normal 266 2 2" xfId="22863" xr:uid="{00000000-0005-0000-0000-00004F590000}"/>
    <cellStyle name="Normal 266 2 2 2" xfId="22864" xr:uid="{00000000-0005-0000-0000-000050590000}"/>
    <cellStyle name="Normal 266 2 3" xfId="22865" xr:uid="{00000000-0005-0000-0000-000051590000}"/>
    <cellStyle name="Normal 266 2 3 2" xfId="22866" xr:uid="{00000000-0005-0000-0000-000052590000}"/>
    <cellStyle name="Normal 266 2 3 2 2" xfId="22867" xr:uid="{00000000-0005-0000-0000-000053590000}"/>
    <cellStyle name="Normal 266 2 3 3" xfId="22868" xr:uid="{00000000-0005-0000-0000-000054590000}"/>
    <cellStyle name="Normal 266 2 4" xfId="22869" xr:uid="{00000000-0005-0000-0000-000055590000}"/>
    <cellStyle name="Normal 266 2 4 2" xfId="22870" xr:uid="{00000000-0005-0000-0000-000056590000}"/>
    <cellStyle name="Normal 266 2 4 2 2" xfId="22871" xr:uid="{00000000-0005-0000-0000-000057590000}"/>
    <cellStyle name="Normal 266 2 4 3" xfId="22872" xr:uid="{00000000-0005-0000-0000-000058590000}"/>
    <cellStyle name="Normal 266 2 5" xfId="22873" xr:uid="{00000000-0005-0000-0000-000059590000}"/>
    <cellStyle name="Normal 266 3" xfId="22874" xr:uid="{00000000-0005-0000-0000-00005A590000}"/>
    <cellStyle name="Normal 266 3 2" xfId="22875" xr:uid="{00000000-0005-0000-0000-00005B590000}"/>
    <cellStyle name="Normal 266 3 2 2" xfId="22876" xr:uid="{00000000-0005-0000-0000-00005C590000}"/>
    <cellStyle name="Normal 266 3 2 2 2" xfId="22877" xr:uid="{00000000-0005-0000-0000-00005D590000}"/>
    <cellStyle name="Normal 266 3 2 3" xfId="22878" xr:uid="{00000000-0005-0000-0000-00005E590000}"/>
    <cellStyle name="Normal 266 3 2 3 2" xfId="22879" xr:uid="{00000000-0005-0000-0000-00005F590000}"/>
    <cellStyle name="Normal 266 3 2 3 2 2" xfId="22880" xr:uid="{00000000-0005-0000-0000-000060590000}"/>
    <cellStyle name="Normal 266 3 2 3 3" xfId="22881" xr:uid="{00000000-0005-0000-0000-000061590000}"/>
    <cellStyle name="Normal 266 3 2 4" xfId="22882" xr:uid="{00000000-0005-0000-0000-000062590000}"/>
    <cellStyle name="Normal 266 3 3" xfId="22883" xr:uid="{00000000-0005-0000-0000-000063590000}"/>
    <cellStyle name="Normal 266 3 3 2" xfId="22884" xr:uid="{00000000-0005-0000-0000-000064590000}"/>
    <cellStyle name="Normal 266 3 3 2 2" xfId="22885" xr:uid="{00000000-0005-0000-0000-000065590000}"/>
    <cellStyle name="Normal 266 3 3 3" xfId="22886" xr:uid="{00000000-0005-0000-0000-000066590000}"/>
    <cellStyle name="Normal 266 3 4" xfId="22887" xr:uid="{00000000-0005-0000-0000-000067590000}"/>
    <cellStyle name="Normal 266 3 4 2" xfId="22888" xr:uid="{00000000-0005-0000-0000-000068590000}"/>
    <cellStyle name="Normal 266 3 4 2 2" xfId="22889" xr:uid="{00000000-0005-0000-0000-000069590000}"/>
    <cellStyle name="Normal 266 3 4 3" xfId="22890" xr:uid="{00000000-0005-0000-0000-00006A590000}"/>
    <cellStyle name="Normal 266 3 5" xfId="22891" xr:uid="{00000000-0005-0000-0000-00006B590000}"/>
    <cellStyle name="Normal 266 3 5 2" xfId="22892" xr:uid="{00000000-0005-0000-0000-00006C590000}"/>
    <cellStyle name="Normal 266 3 5 2 2" xfId="22893" xr:uid="{00000000-0005-0000-0000-00006D590000}"/>
    <cellStyle name="Normal 266 3 5 3" xfId="22894" xr:uid="{00000000-0005-0000-0000-00006E590000}"/>
    <cellStyle name="Normal 266 3 6" xfId="22895" xr:uid="{00000000-0005-0000-0000-00006F590000}"/>
    <cellStyle name="Normal 266 4" xfId="22896" xr:uid="{00000000-0005-0000-0000-000070590000}"/>
    <cellStyle name="Normal 266 4 2" xfId="22897" xr:uid="{00000000-0005-0000-0000-000071590000}"/>
    <cellStyle name="Normal 266 4 2 2" xfId="22898" xr:uid="{00000000-0005-0000-0000-000072590000}"/>
    <cellStyle name="Normal 266 4 3" xfId="22899" xr:uid="{00000000-0005-0000-0000-000073590000}"/>
    <cellStyle name="Normal 266 5" xfId="22900" xr:uid="{00000000-0005-0000-0000-000074590000}"/>
    <cellStyle name="Normal 266 5 2" xfId="22901" xr:uid="{00000000-0005-0000-0000-000075590000}"/>
    <cellStyle name="Normal 266 5 2 2" xfId="22902" xr:uid="{00000000-0005-0000-0000-000076590000}"/>
    <cellStyle name="Normal 266 5 3" xfId="22903" xr:uid="{00000000-0005-0000-0000-000077590000}"/>
    <cellStyle name="Normal 266 6" xfId="22904" xr:uid="{00000000-0005-0000-0000-000078590000}"/>
    <cellStyle name="Normal 266 6 2" xfId="22905" xr:uid="{00000000-0005-0000-0000-000079590000}"/>
    <cellStyle name="Normal 266 6 2 2" xfId="22906" xr:uid="{00000000-0005-0000-0000-00007A590000}"/>
    <cellStyle name="Normal 266 6 3" xfId="22907" xr:uid="{00000000-0005-0000-0000-00007B590000}"/>
    <cellStyle name="Normal 266 7" xfId="22908" xr:uid="{00000000-0005-0000-0000-00007C590000}"/>
    <cellStyle name="Normal 267" xfId="22909" xr:uid="{00000000-0005-0000-0000-00007D590000}"/>
    <cellStyle name="Normal 267 2" xfId="22910" xr:uid="{00000000-0005-0000-0000-00007E590000}"/>
    <cellStyle name="Normal 267 2 2" xfId="22911" xr:uid="{00000000-0005-0000-0000-00007F590000}"/>
    <cellStyle name="Normal 267 2 2 2" xfId="22912" xr:uid="{00000000-0005-0000-0000-000080590000}"/>
    <cellStyle name="Normal 267 2 3" xfId="22913" xr:uid="{00000000-0005-0000-0000-000081590000}"/>
    <cellStyle name="Normal 267 2 3 2" xfId="22914" xr:uid="{00000000-0005-0000-0000-000082590000}"/>
    <cellStyle name="Normal 267 2 3 2 2" xfId="22915" xr:uid="{00000000-0005-0000-0000-000083590000}"/>
    <cellStyle name="Normal 267 2 3 3" xfId="22916" xr:uid="{00000000-0005-0000-0000-000084590000}"/>
    <cellStyle name="Normal 267 2 4" xfId="22917" xr:uid="{00000000-0005-0000-0000-000085590000}"/>
    <cellStyle name="Normal 267 2 4 2" xfId="22918" xr:uid="{00000000-0005-0000-0000-000086590000}"/>
    <cellStyle name="Normal 267 2 4 2 2" xfId="22919" xr:uid="{00000000-0005-0000-0000-000087590000}"/>
    <cellStyle name="Normal 267 2 4 3" xfId="22920" xr:uid="{00000000-0005-0000-0000-000088590000}"/>
    <cellStyle name="Normal 267 2 5" xfId="22921" xr:uid="{00000000-0005-0000-0000-000089590000}"/>
    <cellStyle name="Normal 267 3" xfId="22922" xr:uid="{00000000-0005-0000-0000-00008A590000}"/>
    <cellStyle name="Normal 267 3 2" xfId="22923" xr:uid="{00000000-0005-0000-0000-00008B590000}"/>
    <cellStyle name="Normal 267 3 2 2" xfId="22924" xr:uid="{00000000-0005-0000-0000-00008C590000}"/>
    <cellStyle name="Normal 267 3 2 2 2" xfId="22925" xr:uid="{00000000-0005-0000-0000-00008D590000}"/>
    <cellStyle name="Normal 267 3 2 3" xfId="22926" xr:uid="{00000000-0005-0000-0000-00008E590000}"/>
    <cellStyle name="Normal 267 3 2 3 2" xfId="22927" xr:uid="{00000000-0005-0000-0000-00008F590000}"/>
    <cellStyle name="Normal 267 3 2 3 2 2" xfId="22928" xr:uid="{00000000-0005-0000-0000-000090590000}"/>
    <cellStyle name="Normal 267 3 2 3 3" xfId="22929" xr:uid="{00000000-0005-0000-0000-000091590000}"/>
    <cellStyle name="Normal 267 3 2 4" xfId="22930" xr:uid="{00000000-0005-0000-0000-000092590000}"/>
    <cellStyle name="Normal 267 3 3" xfId="22931" xr:uid="{00000000-0005-0000-0000-000093590000}"/>
    <cellStyle name="Normal 267 3 3 2" xfId="22932" xr:uid="{00000000-0005-0000-0000-000094590000}"/>
    <cellStyle name="Normal 267 3 3 2 2" xfId="22933" xr:uid="{00000000-0005-0000-0000-000095590000}"/>
    <cellStyle name="Normal 267 3 3 3" xfId="22934" xr:uid="{00000000-0005-0000-0000-000096590000}"/>
    <cellStyle name="Normal 267 3 4" xfId="22935" xr:uid="{00000000-0005-0000-0000-000097590000}"/>
    <cellStyle name="Normal 267 3 4 2" xfId="22936" xr:uid="{00000000-0005-0000-0000-000098590000}"/>
    <cellStyle name="Normal 267 3 4 2 2" xfId="22937" xr:uid="{00000000-0005-0000-0000-000099590000}"/>
    <cellStyle name="Normal 267 3 4 3" xfId="22938" xr:uid="{00000000-0005-0000-0000-00009A590000}"/>
    <cellStyle name="Normal 267 3 5" xfId="22939" xr:uid="{00000000-0005-0000-0000-00009B590000}"/>
    <cellStyle name="Normal 267 3 5 2" xfId="22940" xr:uid="{00000000-0005-0000-0000-00009C590000}"/>
    <cellStyle name="Normal 267 3 5 2 2" xfId="22941" xr:uid="{00000000-0005-0000-0000-00009D590000}"/>
    <cellStyle name="Normal 267 3 5 3" xfId="22942" xr:uid="{00000000-0005-0000-0000-00009E590000}"/>
    <cellStyle name="Normal 267 3 6" xfId="22943" xr:uid="{00000000-0005-0000-0000-00009F590000}"/>
    <cellStyle name="Normal 267 4" xfId="22944" xr:uid="{00000000-0005-0000-0000-0000A0590000}"/>
    <cellStyle name="Normal 267 4 2" xfId="22945" xr:uid="{00000000-0005-0000-0000-0000A1590000}"/>
    <cellStyle name="Normal 267 4 2 2" xfId="22946" xr:uid="{00000000-0005-0000-0000-0000A2590000}"/>
    <cellStyle name="Normal 267 4 3" xfId="22947" xr:uid="{00000000-0005-0000-0000-0000A3590000}"/>
    <cellStyle name="Normal 267 5" xfId="22948" xr:uid="{00000000-0005-0000-0000-0000A4590000}"/>
    <cellStyle name="Normal 267 5 2" xfId="22949" xr:uid="{00000000-0005-0000-0000-0000A5590000}"/>
    <cellStyle name="Normal 267 5 2 2" xfId="22950" xr:uid="{00000000-0005-0000-0000-0000A6590000}"/>
    <cellStyle name="Normal 267 5 3" xfId="22951" xr:uid="{00000000-0005-0000-0000-0000A7590000}"/>
    <cellStyle name="Normal 267 6" xfId="22952" xr:uid="{00000000-0005-0000-0000-0000A8590000}"/>
    <cellStyle name="Normal 267 6 2" xfId="22953" xr:uid="{00000000-0005-0000-0000-0000A9590000}"/>
    <cellStyle name="Normal 267 6 2 2" xfId="22954" xr:uid="{00000000-0005-0000-0000-0000AA590000}"/>
    <cellStyle name="Normal 267 6 3" xfId="22955" xr:uid="{00000000-0005-0000-0000-0000AB590000}"/>
    <cellStyle name="Normal 267 7" xfId="22956" xr:uid="{00000000-0005-0000-0000-0000AC590000}"/>
    <cellStyle name="Normal 268" xfId="22957" xr:uid="{00000000-0005-0000-0000-0000AD590000}"/>
    <cellStyle name="Normal 268 2" xfId="22958" xr:uid="{00000000-0005-0000-0000-0000AE590000}"/>
    <cellStyle name="Normal 268 2 2" xfId="22959" xr:uid="{00000000-0005-0000-0000-0000AF590000}"/>
    <cellStyle name="Normal 268 2 2 2" xfId="22960" xr:uid="{00000000-0005-0000-0000-0000B0590000}"/>
    <cellStyle name="Normal 268 2 3" xfId="22961" xr:uid="{00000000-0005-0000-0000-0000B1590000}"/>
    <cellStyle name="Normal 268 2 3 2" xfId="22962" xr:uid="{00000000-0005-0000-0000-0000B2590000}"/>
    <cellStyle name="Normal 268 2 3 2 2" xfId="22963" xr:uid="{00000000-0005-0000-0000-0000B3590000}"/>
    <cellStyle name="Normal 268 2 3 3" xfId="22964" xr:uid="{00000000-0005-0000-0000-0000B4590000}"/>
    <cellStyle name="Normal 268 2 4" xfId="22965" xr:uid="{00000000-0005-0000-0000-0000B5590000}"/>
    <cellStyle name="Normal 268 2 4 2" xfId="22966" xr:uid="{00000000-0005-0000-0000-0000B6590000}"/>
    <cellStyle name="Normal 268 2 4 2 2" xfId="22967" xr:uid="{00000000-0005-0000-0000-0000B7590000}"/>
    <cellStyle name="Normal 268 2 4 3" xfId="22968" xr:uid="{00000000-0005-0000-0000-0000B8590000}"/>
    <cellStyle name="Normal 268 2 5" xfId="22969" xr:uid="{00000000-0005-0000-0000-0000B9590000}"/>
    <cellStyle name="Normal 268 3" xfId="22970" xr:uid="{00000000-0005-0000-0000-0000BA590000}"/>
    <cellStyle name="Normal 268 3 2" xfId="22971" xr:uid="{00000000-0005-0000-0000-0000BB590000}"/>
    <cellStyle name="Normal 268 3 2 2" xfId="22972" xr:uid="{00000000-0005-0000-0000-0000BC590000}"/>
    <cellStyle name="Normal 268 3 2 2 2" xfId="22973" xr:uid="{00000000-0005-0000-0000-0000BD590000}"/>
    <cellStyle name="Normal 268 3 2 3" xfId="22974" xr:uid="{00000000-0005-0000-0000-0000BE590000}"/>
    <cellStyle name="Normal 268 3 2 3 2" xfId="22975" xr:uid="{00000000-0005-0000-0000-0000BF590000}"/>
    <cellStyle name="Normal 268 3 2 3 2 2" xfId="22976" xr:uid="{00000000-0005-0000-0000-0000C0590000}"/>
    <cellStyle name="Normal 268 3 2 3 3" xfId="22977" xr:uid="{00000000-0005-0000-0000-0000C1590000}"/>
    <cellStyle name="Normal 268 3 2 4" xfId="22978" xr:uid="{00000000-0005-0000-0000-0000C2590000}"/>
    <cellStyle name="Normal 268 3 3" xfId="22979" xr:uid="{00000000-0005-0000-0000-0000C3590000}"/>
    <cellStyle name="Normal 268 3 3 2" xfId="22980" xr:uid="{00000000-0005-0000-0000-0000C4590000}"/>
    <cellStyle name="Normal 268 3 3 2 2" xfId="22981" xr:uid="{00000000-0005-0000-0000-0000C5590000}"/>
    <cellStyle name="Normal 268 3 3 3" xfId="22982" xr:uid="{00000000-0005-0000-0000-0000C6590000}"/>
    <cellStyle name="Normal 268 3 4" xfId="22983" xr:uid="{00000000-0005-0000-0000-0000C7590000}"/>
    <cellStyle name="Normal 268 3 4 2" xfId="22984" xr:uid="{00000000-0005-0000-0000-0000C8590000}"/>
    <cellStyle name="Normal 268 3 4 2 2" xfId="22985" xr:uid="{00000000-0005-0000-0000-0000C9590000}"/>
    <cellStyle name="Normal 268 3 4 3" xfId="22986" xr:uid="{00000000-0005-0000-0000-0000CA590000}"/>
    <cellStyle name="Normal 268 3 5" xfId="22987" xr:uid="{00000000-0005-0000-0000-0000CB590000}"/>
    <cellStyle name="Normal 268 3 5 2" xfId="22988" xr:uid="{00000000-0005-0000-0000-0000CC590000}"/>
    <cellStyle name="Normal 268 3 5 2 2" xfId="22989" xr:uid="{00000000-0005-0000-0000-0000CD590000}"/>
    <cellStyle name="Normal 268 3 5 3" xfId="22990" xr:uid="{00000000-0005-0000-0000-0000CE590000}"/>
    <cellStyle name="Normal 268 3 6" xfId="22991" xr:uid="{00000000-0005-0000-0000-0000CF590000}"/>
    <cellStyle name="Normal 268 4" xfId="22992" xr:uid="{00000000-0005-0000-0000-0000D0590000}"/>
    <cellStyle name="Normal 268 4 2" xfId="22993" xr:uid="{00000000-0005-0000-0000-0000D1590000}"/>
    <cellStyle name="Normal 268 4 2 2" xfId="22994" xr:uid="{00000000-0005-0000-0000-0000D2590000}"/>
    <cellStyle name="Normal 268 4 3" xfId="22995" xr:uid="{00000000-0005-0000-0000-0000D3590000}"/>
    <cellStyle name="Normal 268 5" xfId="22996" xr:uid="{00000000-0005-0000-0000-0000D4590000}"/>
    <cellStyle name="Normal 268 5 2" xfId="22997" xr:uid="{00000000-0005-0000-0000-0000D5590000}"/>
    <cellStyle name="Normal 268 5 2 2" xfId="22998" xr:uid="{00000000-0005-0000-0000-0000D6590000}"/>
    <cellStyle name="Normal 268 5 3" xfId="22999" xr:uid="{00000000-0005-0000-0000-0000D7590000}"/>
    <cellStyle name="Normal 268 6" xfId="23000" xr:uid="{00000000-0005-0000-0000-0000D8590000}"/>
    <cellStyle name="Normal 268 6 2" xfId="23001" xr:uid="{00000000-0005-0000-0000-0000D9590000}"/>
    <cellStyle name="Normal 268 6 2 2" xfId="23002" xr:uid="{00000000-0005-0000-0000-0000DA590000}"/>
    <cellStyle name="Normal 268 6 3" xfId="23003" xr:uid="{00000000-0005-0000-0000-0000DB590000}"/>
    <cellStyle name="Normal 268 7" xfId="23004" xr:uid="{00000000-0005-0000-0000-0000DC590000}"/>
    <cellStyle name="Normal 269" xfId="23005" xr:uid="{00000000-0005-0000-0000-0000DD590000}"/>
    <cellStyle name="Normal 269 2" xfId="23006" xr:uid="{00000000-0005-0000-0000-0000DE590000}"/>
    <cellStyle name="Normal 269 2 2" xfId="23007" xr:uid="{00000000-0005-0000-0000-0000DF590000}"/>
    <cellStyle name="Normal 269 2 2 2" xfId="23008" xr:uid="{00000000-0005-0000-0000-0000E0590000}"/>
    <cellStyle name="Normal 269 2 3" xfId="23009" xr:uid="{00000000-0005-0000-0000-0000E1590000}"/>
    <cellStyle name="Normal 269 2 3 2" xfId="23010" xr:uid="{00000000-0005-0000-0000-0000E2590000}"/>
    <cellStyle name="Normal 269 2 3 2 2" xfId="23011" xr:uid="{00000000-0005-0000-0000-0000E3590000}"/>
    <cellStyle name="Normal 269 2 3 3" xfId="23012" xr:uid="{00000000-0005-0000-0000-0000E4590000}"/>
    <cellStyle name="Normal 269 2 4" xfId="23013" xr:uid="{00000000-0005-0000-0000-0000E5590000}"/>
    <cellStyle name="Normal 269 2 4 2" xfId="23014" xr:uid="{00000000-0005-0000-0000-0000E6590000}"/>
    <cellStyle name="Normal 269 2 4 2 2" xfId="23015" xr:uid="{00000000-0005-0000-0000-0000E7590000}"/>
    <cellStyle name="Normal 269 2 4 3" xfId="23016" xr:uid="{00000000-0005-0000-0000-0000E8590000}"/>
    <cellStyle name="Normal 269 2 5" xfId="23017" xr:uid="{00000000-0005-0000-0000-0000E9590000}"/>
    <cellStyle name="Normal 269 3" xfId="23018" xr:uid="{00000000-0005-0000-0000-0000EA590000}"/>
    <cellStyle name="Normal 269 3 2" xfId="23019" xr:uid="{00000000-0005-0000-0000-0000EB590000}"/>
    <cellStyle name="Normal 269 3 2 2" xfId="23020" xr:uid="{00000000-0005-0000-0000-0000EC590000}"/>
    <cellStyle name="Normal 269 3 2 2 2" xfId="23021" xr:uid="{00000000-0005-0000-0000-0000ED590000}"/>
    <cellStyle name="Normal 269 3 2 3" xfId="23022" xr:uid="{00000000-0005-0000-0000-0000EE590000}"/>
    <cellStyle name="Normal 269 3 2 3 2" xfId="23023" xr:uid="{00000000-0005-0000-0000-0000EF590000}"/>
    <cellStyle name="Normal 269 3 2 3 2 2" xfId="23024" xr:uid="{00000000-0005-0000-0000-0000F0590000}"/>
    <cellStyle name="Normal 269 3 2 3 3" xfId="23025" xr:uid="{00000000-0005-0000-0000-0000F1590000}"/>
    <cellStyle name="Normal 269 3 2 4" xfId="23026" xr:uid="{00000000-0005-0000-0000-0000F2590000}"/>
    <cellStyle name="Normal 269 3 3" xfId="23027" xr:uid="{00000000-0005-0000-0000-0000F3590000}"/>
    <cellStyle name="Normal 269 3 3 2" xfId="23028" xr:uid="{00000000-0005-0000-0000-0000F4590000}"/>
    <cellStyle name="Normal 269 3 3 2 2" xfId="23029" xr:uid="{00000000-0005-0000-0000-0000F5590000}"/>
    <cellStyle name="Normal 269 3 3 3" xfId="23030" xr:uid="{00000000-0005-0000-0000-0000F6590000}"/>
    <cellStyle name="Normal 269 3 4" xfId="23031" xr:uid="{00000000-0005-0000-0000-0000F7590000}"/>
    <cellStyle name="Normal 269 3 4 2" xfId="23032" xr:uid="{00000000-0005-0000-0000-0000F8590000}"/>
    <cellStyle name="Normal 269 3 4 2 2" xfId="23033" xr:uid="{00000000-0005-0000-0000-0000F9590000}"/>
    <cellStyle name="Normal 269 3 4 3" xfId="23034" xr:uid="{00000000-0005-0000-0000-0000FA590000}"/>
    <cellStyle name="Normal 269 3 5" xfId="23035" xr:uid="{00000000-0005-0000-0000-0000FB590000}"/>
    <cellStyle name="Normal 269 3 5 2" xfId="23036" xr:uid="{00000000-0005-0000-0000-0000FC590000}"/>
    <cellStyle name="Normal 269 3 5 2 2" xfId="23037" xr:uid="{00000000-0005-0000-0000-0000FD590000}"/>
    <cellStyle name="Normal 269 3 5 3" xfId="23038" xr:uid="{00000000-0005-0000-0000-0000FE590000}"/>
    <cellStyle name="Normal 269 3 6" xfId="23039" xr:uid="{00000000-0005-0000-0000-0000FF590000}"/>
    <cellStyle name="Normal 269 4" xfId="23040" xr:uid="{00000000-0005-0000-0000-0000005A0000}"/>
    <cellStyle name="Normal 269 4 2" xfId="23041" xr:uid="{00000000-0005-0000-0000-0000015A0000}"/>
    <cellStyle name="Normal 269 4 2 2" xfId="23042" xr:uid="{00000000-0005-0000-0000-0000025A0000}"/>
    <cellStyle name="Normal 269 4 3" xfId="23043" xr:uid="{00000000-0005-0000-0000-0000035A0000}"/>
    <cellStyle name="Normal 269 5" xfId="23044" xr:uid="{00000000-0005-0000-0000-0000045A0000}"/>
    <cellStyle name="Normal 269 5 2" xfId="23045" xr:uid="{00000000-0005-0000-0000-0000055A0000}"/>
    <cellStyle name="Normal 269 5 2 2" xfId="23046" xr:uid="{00000000-0005-0000-0000-0000065A0000}"/>
    <cellStyle name="Normal 269 5 3" xfId="23047" xr:uid="{00000000-0005-0000-0000-0000075A0000}"/>
    <cellStyle name="Normal 269 6" xfId="23048" xr:uid="{00000000-0005-0000-0000-0000085A0000}"/>
    <cellStyle name="Normal 269 6 2" xfId="23049" xr:uid="{00000000-0005-0000-0000-0000095A0000}"/>
    <cellStyle name="Normal 269 6 2 2" xfId="23050" xr:uid="{00000000-0005-0000-0000-00000A5A0000}"/>
    <cellStyle name="Normal 269 6 3" xfId="23051" xr:uid="{00000000-0005-0000-0000-00000B5A0000}"/>
    <cellStyle name="Normal 269 7" xfId="23052" xr:uid="{00000000-0005-0000-0000-00000C5A0000}"/>
    <cellStyle name="Normal 27" xfId="23053" xr:uid="{00000000-0005-0000-0000-00000D5A0000}"/>
    <cellStyle name="Normal 27 2" xfId="23054" xr:uid="{00000000-0005-0000-0000-00000E5A0000}"/>
    <cellStyle name="Normal 27 2 2" xfId="23055" xr:uid="{00000000-0005-0000-0000-00000F5A0000}"/>
    <cellStyle name="Normal 27 2 2 2" xfId="23056" xr:uid="{00000000-0005-0000-0000-0000105A0000}"/>
    <cellStyle name="Normal 27 2 2 2 2" xfId="23057" xr:uid="{00000000-0005-0000-0000-0000115A0000}"/>
    <cellStyle name="Normal 27 2 2 3" xfId="23058" xr:uid="{00000000-0005-0000-0000-0000125A0000}"/>
    <cellStyle name="Normal 27 2 2 3 2" xfId="23059" xr:uid="{00000000-0005-0000-0000-0000135A0000}"/>
    <cellStyle name="Normal 27 2 2 3 2 2" xfId="23060" xr:uid="{00000000-0005-0000-0000-0000145A0000}"/>
    <cellStyle name="Normal 27 2 2 3 3" xfId="23061" xr:uid="{00000000-0005-0000-0000-0000155A0000}"/>
    <cellStyle name="Normal 27 2 2 4" xfId="23062" xr:uid="{00000000-0005-0000-0000-0000165A0000}"/>
    <cellStyle name="Normal 27 2 2 4 2" xfId="23063" xr:uid="{00000000-0005-0000-0000-0000175A0000}"/>
    <cellStyle name="Normal 27 2 2 4 2 2" xfId="23064" xr:uid="{00000000-0005-0000-0000-0000185A0000}"/>
    <cellStyle name="Normal 27 2 2 4 3" xfId="23065" xr:uid="{00000000-0005-0000-0000-0000195A0000}"/>
    <cellStyle name="Normal 27 2 2 5" xfId="23066" xr:uid="{00000000-0005-0000-0000-00001A5A0000}"/>
    <cellStyle name="Normal 27 2 3" xfId="23067" xr:uid="{00000000-0005-0000-0000-00001B5A0000}"/>
    <cellStyle name="Normal 27 2 3 2" xfId="23068" xr:uid="{00000000-0005-0000-0000-00001C5A0000}"/>
    <cellStyle name="Normal 27 2 3 2 2" xfId="23069" xr:uid="{00000000-0005-0000-0000-00001D5A0000}"/>
    <cellStyle name="Normal 27 2 3 3" xfId="23070" xr:uid="{00000000-0005-0000-0000-00001E5A0000}"/>
    <cellStyle name="Normal 27 2 4" xfId="23071" xr:uid="{00000000-0005-0000-0000-00001F5A0000}"/>
    <cellStyle name="Normal 27 2 4 2" xfId="23072" xr:uid="{00000000-0005-0000-0000-0000205A0000}"/>
    <cellStyle name="Normal 27 2 4 2 2" xfId="23073" xr:uid="{00000000-0005-0000-0000-0000215A0000}"/>
    <cellStyle name="Normal 27 2 4 3" xfId="23074" xr:uid="{00000000-0005-0000-0000-0000225A0000}"/>
    <cellStyle name="Normal 27 2 5" xfId="23075" xr:uid="{00000000-0005-0000-0000-0000235A0000}"/>
    <cellStyle name="Normal 27 2 5 2" xfId="23076" xr:uid="{00000000-0005-0000-0000-0000245A0000}"/>
    <cellStyle name="Normal 27 2 5 2 2" xfId="23077" xr:uid="{00000000-0005-0000-0000-0000255A0000}"/>
    <cellStyle name="Normal 27 2 5 3" xfId="23078" xr:uid="{00000000-0005-0000-0000-0000265A0000}"/>
    <cellStyle name="Normal 27 2 6" xfId="23079" xr:uid="{00000000-0005-0000-0000-0000275A0000}"/>
    <cellStyle name="Normal 27 3" xfId="23080" xr:uid="{00000000-0005-0000-0000-0000285A0000}"/>
    <cellStyle name="Normal 27 3 2" xfId="23081" xr:uid="{00000000-0005-0000-0000-0000295A0000}"/>
    <cellStyle name="Normal 27 3 2 2" xfId="23082" xr:uid="{00000000-0005-0000-0000-00002A5A0000}"/>
    <cellStyle name="Normal 27 3 3" xfId="23083" xr:uid="{00000000-0005-0000-0000-00002B5A0000}"/>
    <cellStyle name="Normal 27 3 3 2" xfId="23084" xr:uid="{00000000-0005-0000-0000-00002C5A0000}"/>
    <cellStyle name="Normal 27 3 3 2 2" xfId="23085" xr:uid="{00000000-0005-0000-0000-00002D5A0000}"/>
    <cellStyle name="Normal 27 3 3 3" xfId="23086" xr:uid="{00000000-0005-0000-0000-00002E5A0000}"/>
    <cellStyle name="Normal 27 3 4" xfId="23087" xr:uid="{00000000-0005-0000-0000-00002F5A0000}"/>
    <cellStyle name="Normal 27 3 4 2" xfId="23088" xr:uid="{00000000-0005-0000-0000-0000305A0000}"/>
    <cellStyle name="Normal 27 3 4 2 2" xfId="23089" xr:uid="{00000000-0005-0000-0000-0000315A0000}"/>
    <cellStyle name="Normal 27 3 4 3" xfId="23090" xr:uid="{00000000-0005-0000-0000-0000325A0000}"/>
    <cellStyle name="Normal 27 3 5" xfId="23091" xr:uid="{00000000-0005-0000-0000-0000335A0000}"/>
    <cellStyle name="Normal 27 4" xfId="23092" xr:uid="{00000000-0005-0000-0000-0000345A0000}"/>
    <cellStyle name="Normal 27 4 2" xfId="23093" xr:uid="{00000000-0005-0000-0000-0000355A0000}"/>
    <cellStyle name="Normal 27 4 2 2" xfId="23094" xr:uid="{00000000-0005-0000-0000-0000365A0000}"/>
    <cellStyle name="Normal 27 4 3" xfId="23095" xr:uid="{00000000-0005-0000-0000-0000375A0000}"/>
    <cellStyle name="Normal 27 4 3 2" xfId="23096" xr:uid="{00000000-0005-0000-0000-0000385A0000}"/>
    <cellStyle name="Normal 27 4 3 2 2" xfId="23097" xr:uid="{00000000-0005-0000-0000-0000395A0000}"/>
    <cellStyle name="Normal 27 4 3 3" xfId="23098" xr:uid="{00000000-0005-0000-0000-00003A5A0000}"/>
    <cellStyle name="Normal 27 4 4" xfId="23099" xr:uid="{00000000-0005-0000-0000-00003B5A0000}"/>
    <cellStyle name="Normal 27 4 4 2" xfId="23100" xr:uid="{00000000-0005-0000-0000-00003C5A0000}"/>
    <cellStyle name="Normal 27 4 4 2 2" xfId="23101" xr:uid="{00000000-0005-0000-0000-00003D5A0000}"/>
    <cellStyle name="Normal 27 4 4 3" xfId="23102" xr:uid="{00000000-0005-0000-0000-00003E5A0000}"/>
    <cellStyle name="Normal 27 4 5" xfId="23103" xr:uid="{00000000-0005-0000-0000-00003F5A0000}"/>
    <cellStyle name="Normal 27 5" xfId="23104" xr:uid="{00000000-0005-0000-0000-0000405A0000}"/>
    <cellStyle name="Normal 27 5 2" xfId="23105" xr:uid="{00000000-0005-0000-0000-0000415A0000}"/>
    <cellStyle name="Normal 27 5 2 2" xfId="23106" xr:uid="{00000000-0005-0000-0000-0000425A0000}"/>
    <cellStyle name="Normal 27 5 3" xfId="23107" xr:uid="{00000000-0005-0000-0000-0000435A0000}"/>
    <cellStyle name="Normal 27 6" xfId="23108" xr:uid="{00000000-0005-0000-0000-0000445A0000}"/>
    <cellStyle name="Normal 27 6 2" xfId="23109" xr:uid="{00000000-0005-0000-0000-0000455A0000}"/>
    <cellStyle name="Normal 27 6 2 2" xfId="23110" xr:uid="{00000000-0005-0000-0000-0000465A0000}"/>
    <cellStyle name="Normal 27 6 3" xfId="23111" xr:uid="{00000000-0005-0000-0000-0000475A0000}"/>
    <cellStyle name="Normal 27 7" xfId="23112" xr:uid="{00000000-0005-0000-0000-0000485A0000}"/>
    <cellStyle name="Normal 27 7 2" xfId="23113" xr:uid="{00000000-0005-0000-0000-0000495A0000}"/>
    <cellStyle name="Normal 27 7 2 2" xfId="23114" xr:uid="{00000000-0005-0000-0000-00004A5A0000}"/>
    <cellStyle name="Normal 27 7 3" xfId="23115" xr:uid="{00000000-0005-0000-0000-00004B5A0000}"/>
    <cellStyle name="Normal 27 8" xfId="23116" xr:uid="{00000000-0005-0000-0000-00004C5A0000}"/>
    <cellStyle name="Normal 270" xfId="23117" xr:uid="{00000000-0005-0000-0000-00004D5A0000}"/>
    <cellStyle name="Normal 270 2" xfId="23118" xr:uid="{00000000-0005-0000-0000-00004E5A0000}"/>
    <cellStyle name="Normal 270 2 2" xfId="23119" xr:uid="{00000000-0005-0000-0000-00004F5A0000}"/>
    <cellStyle name="Normal 270 2 2 2" xfId="23120" xr:uid="{00000000-0005-0000-0000-0000505A0000}"/>
    <cellStyle name="Normal 270 2 3" xfId="23121" xr:uid="{00000000-0005-0000-0000-0000515A0000}"/>
    <cellStyle name="Normal 270 2 3 2" xfId="23122" xr:uid="{00000000-0005-0000-0000-0000525A0000}"/>
    <cellStyle name="Normal 270 2 3 2 2" xfId="23123" xr:uid="{00000000-0005-0000-0000-0000535A0000}"/>
    <cellStyle name="Normal 270 2 3 3" xfId="23124" xr:uid="{00000000-0005-0000-0000-0000545A0000}"/>
    <cellStyle name="Normal 270 2 4" xfId="23125" xr:uid="{00000000-0005-0000-0000-0000555A0000}"/>
    <cellStyle name="Normal 270 2 4 2" xfId="23126" xr:uid="{00000000-0005-0000-0000-0000565A0000}"/>
    <cellStyle name="Normal 270 2 4 2 2" xfId="23127" xr:uid="{00000000-0005-0000-0000-0000575A0000}"/>
    <cellStyle name="Normal 270 2 4 3" xfId="23128" xr:uid="{00000000-0005-0000-0000-0000585A0000}"/>
    <cellStyle name="Normal 270 2 5" xfId="23129" xr:uid="{00000000-0005-0000-0000-0000595A0000}"/>
    <cellStyle name="Normal 270 3" xfId="23130" xr:uid="{00000000-0005-0000-0000-00005A5A0000}"/>
    <cellStyle name="Normal 270 3 2" xfId="23131" xr:uid="{00000000-0005-0000-0000-00005B5A0000}"/>
    <cellStyle name="Normal 270 3 2 2" xfId="23132" xr:uid="{00000000-0005-0000-0000-00005C5A0000}"/>
    <cellStyle name="Normal 270 3 2 2 2" xfId="23133" xr:uid="{00000000-0005-0000-0000-00005D5A0000}"/>
    <cellStyle name="Normal 270 3 2 3" xfId="23134" xr:uid="{00000000-0005-0000-0000-00005E5A0000}"/>
    <cellStyle name="Normal 270 3 2 3 2" xfId="23135" xr:uid="{00000000-0005-0000-0000-00005F5A0000}"/>
    <cellStyle name="Normal 270 3 2 3 2 2" xfId="23136" xr:uid="{00000000-0005-0000-0000-0000605A0000}"/>
    <cellStyle name="Normal 270 3 2 3 3" xfId="23137" xr:uid="{00000000-0005-0000-0000-0000615A0000}"/>
    <cellStyle name="Normal 270 3 2 4" xfId="23138" xr:uid="{00000000-0005-0000-0000-0000625A0000}"/>
    <cellStyle name="Normal 270 3 3" xfId="23139" xr:uid="{00000000-0005-0000-0000-0000635A0000}"/>
    <cellStyle name="Normal 270 3 3 2" xfId="23140" xr:uid="{00000000-0005-0000-0000-0000645A0000}"/>
    <cellStyle name="Normal 270 3 3 2 2" xfId="23141" xr:uid="{00000000-0005-0000-0000-0000655A0000}"/>
    <cellStyle name="Normal 270 3 3 3" xfId="23142" xr:uid="{00000000-0005-0000-0000-0000665A0000}"/>
    <cellStyle name="Normal 270 3 4" xfId="23143" xr:uid="{00000000-0005-0000-0000-0000675A0000}"/>
    <cellStyle name="Normal 270 3 4 2" xfId="23144" xr:uid="{00000000-0005-0000-0000-0000685A0000}"/>
    <cellStyle name="Normal 270 3 4 2 2" xfId="23145" xr:uid="{00000000-0005-0000-0000-0000695A0000}"/>
    <cellStyle name="Normal 270 3 4 3" xfId="23146" xr:uid="{00000000-0005-0000-0000-00006A5A0000}"/>
    <cellStyle name="Normal 270 3 5" xfId="23147" xr:uid="{00000000-0005-0000-0000-00006B5A0000}"/>
    <cellStyle name="Normal 270 3 5 2" xfId="23148" xr:uid="{00000000-0005-0000-0000-00006C5A0000}"/>
    <cellStyle name="Normal 270 3 5 2 2" xfId="23149" xr:uid="{00000000-0005-0000-0000-00006D5A0000}"/>
    <cellStyle name="Normal 270 3 5 3" xfId="23150" xr:uid="{00000000-0005-0000-0000-00006E5A0000}"/>
    <cellStyle name="Normal 270 3 6" xfId="23151" xr:uid="{00000000-0005-0000-0000-00006F5A0000}"/>
    <cellStyle name="Normal 270 4" xfId="23152" xr:uid="{00000000-0005-0000-0000-0000705A0000}"/>
    <cellStyle name="Normal 270 4 2" xfId="23153" xr:uid="{00000000-0005-0000-0000-0000715A0000}"/>
    <cellStyle name="Normal 270 4 2 2" xfId="23154" xr:uid="{00000000-0005-0000-0000-0000725A0000}"/>
    <cellStyle name="Normal 270 4 3" xfId="23155" xr:uid="{00000000-0005-0000-0000-0000735A0000}"/>
    <cellStyle name="Normal 270 5" xfId="23156" xr:uid="{00000000-0005-0000-0000-0000745A0000}"/>
    <cellStyle name="Normal 270 5 2" xfId="23157" xr:uid="{00000000-0005-0000-0000-0000755A0000}"/>
    <cellStyle name="Normal 270 5 2 2" xfId="23158" xr:uid="{00000000-0005-0000-0000-0000765A0000}"/>
    <cellStyle name="Normal 270 5 3" xfId="23159" xr:uid="{00000000-0005-0000-0000-0000775A0000}"/>
    <cellStyle name="Normal 270 6" xfId="23160" xr:uid="{00000000-0005-0000-0000-0000785A0000}"/>
    <cellStyle name="Normal 270 6 2" xfId="23161" xr:uid="{00000000-0005-0000-0000-0000795A0000}"/>
    <cellStyle name="Normal 270 6 2 2" xfId="23162" xr:uid="{00000000-0005-0000-0000-00007A5A0000}"/>
    <cellStyle name="Normal 270 6 3" xfId="23163" xr:uid="{00000000-0005-0000-0000-00007B5A0000}"/>
    <cellStyle name="Normal 270 7" xfId="23164" xr:uid="{00000000-0005-0000-0000-00007C5A0000}"/>
    <cellStyle name="Normal 271" xfId="23165" xr:uid="{00000000-0005-0000-0000-00007D5A0000}"/>
    <cellStyle name="Normal 271 2" xfId="23166" xr:uid="{00000000-0005-0000-0000-00007E5A0000}"/>
    <cellStyle name="Normal 271 2 2" xfId="23167" xr:uid="{00000000-0005-0000-0000-00007F5A0000}"/>
    <cellStyle name="Normal 271 2 2 2" xfId="23168" xr:uid="{00000000-0005-0000-0000-0000805A0000}"/>
    <cellStyle name="Normal 271 2 3" xfId="23169" xr:uid="{00000000-0005-0000-0000-0000815A0000}"/>
    <cellStyle name="Normal 271 2 3 2" xfId="23170" xr:uid="{00000000-0005-0000-0000-0000825A0000}"/>
    <cellStyle name="Normal 271 2 3 2 2" xfId="23171" xr:uid="{00000000-0005-0000-0000-0000835A0000}"/>
    <cellStyle name="Normal 271 2 3 3" xfId="23172" xr:uid="{00000000-0005-0000-0000-0000845A0000}"/>
    <cellStyle name="Normal 271 2 4" xfId="23173" xr:uid="{00000000-0005-0000-0000-0000855A0000}"/>
    <cellStyle name="Normal 271 2 4 2" xfId="23174" xr:uid="{00000000-0005-0000-0000-0000865A0000}"/>
    <cellStyle name="Normal 271 2 4 2 2" xfId="23175" xr:uid="{00000000-0005-0000-0000-0000875A0000}"/>
    <cellStyle name="Normal 271 2 4 3" xfId="23176" xr:uid="{00000000-0005-0000-0000-0000885A0000}"/>
    <cellStyle name="Normal 271 2 5" xfId="23177" xr:uid="{00000000-0005-0000-0000-0000895A0000}"/>
    <cellStyle name="Normal 271 3" xfId="23178" xr:uid="{00000000-0005-0000-0000-00008A5A0000}"/>
    <cellStyle name="Normal 271 3 2" xfId="23179" xr:uid="{00000000-0005-0000-0000-00008B5A0000}"/>
    <cellStyle name="Normal 271 3 2 2" xfId="23180" xr:uid="{00000000-0005-0000-0000-00008C5A0000}"/>
    <cellStyle name="Normal 271 3 2 2 2" xfId="23181" xr:uid="{00000000-0005-0000-0000-00008D5A0000}"/>
    <cellStyle name="Normal 271 3 2 3" xfId="23182" xr:uid="{00000000-0005-0000-0000-00008E5A0000}"/>
    <cellStyle name="Normal 271 3 2 3 2" xfId="23183" xr:uid="{00000000-0005-0000-0000-00008F5A0000}"/>
    <cellStyle name="Normal 271 3 2 3 2 2" xfId="23184" xr:uid="{00000000-0005-0000-0000-0000905A0000}"/>
    <cellStyle name="Normal 271 3 2 3 3" xfId="23185" xr:uid="{00000000-0005-0000-0000-0000915A0000}"/>
    <cellStyle name="Normal 271 3 2 4" xfId="23186" xr:uid="{00000000-0005-0000-0000-0000925A0000}"/>
    <cellStyle name="Normal 271 3 3" xfId="23187" xr:uid="{00000000-0005-0000-0000-0000935A0000}"/>
    <cellStyle name="Normal 271 3 3 2" xfId="23188" xr:uid="{00000000-0005-0000-0000-0000945A0000}"/>
    <cellStyle name="Normal 271 3 3 2 2" xfId="23189" xr:uid="{00000000-0005-0000-0000-0000955A0000}"/>
    <cellStyle name="Normal 271 3 3 3" xfId="23190" xr:uid="{00000000-0005-0000-0000-0000965A0000}"/>
    <cellStyle name="Normal 271 3 4" xfId="23191" xr:uid="{00000000-0005-0000-0000-0000975A0000}"/>
    <cellStyle name="Normal 271 3 4 2" xfId="23192" xr:uid="{00000000-0005-0000-0000-0000985A0000}"/>
    <cellStyle name="Normal 271 3 4 2 2" xfId="23193" xr:uid="{00000000-0005-0000-0000-0000995A0000}"/>
    <cellStyle name="Normal 271 3 4 3" xfId="23194" xr:uid="{00000000-0005-0000-0000-00009A5A0000}"/>
    <cellStyle name="Normal 271 3 5" xfId="23195" xr:uid="{00000000-0005-0000-0000-00009B5A0000}"/>
    <cellStyle name="Normal 271 3 5 2" xfId="23196" xr:uid="{00000000-0005-0000-0000-00009C5A0000}"/>
    <cellStyle name="Normal 271 3 5 2 2" xfId="23197" xr:uid="{00000000-0005-0000-0000-00009D5A0000}"/>
    <cellStyle name="Normal 271 3 5 3" xfId="23198" xr:uid="{00000000-0005-0000-0000-00009E5A0000}"/>
    <cellStyle name="Normal 271 3 6" xfId="23199" xr:uid="{00000000-0005-0000-0000-00009F5A0000}"/>
    <cellStyle name="Normal 271 4" xfId="23200" xr:uid="{00000000-0005-0000-0000-0000A05A0000}"/>
    <cellStyle name="Normal 271 4 2" xfId="23201" xr:uid="{00000000-0005-0000-0000-0000A15A0000}"/>
    <cellStyle name="Normal 271 4 2 2" xfId="23202" xr:uid="{00000000-0005-0000-0000-0000A25A0000}"/>
    <cellStyle name="Normal 271 4 3" xfId="23203" xr:uid="{00000000-0005-0000-0000-0000A35A0000}"/>
    <cellStyle name="Normal 271 5" xfId="23204" xr:uid="{00000000-0005-0000-0000-0000A45A0000}"/>
    <cellStyle name="Normal 271 5 2" xfId="23205" xr:uid="{00000000-0005-0000-0000-0000A55A0000}"/>
    <cellStyle name="Normal 271 5 2 2" xfId="23206" xr:uid="{00000000-0005-0000-0000-0000A65A0000}"/>
    <cellStyle name="Normal 271 5 3" xfId="23207" xr:uid="{00000000-0005-0000-0000-0000A75A0000}"/>
    <cellStyle name="Normal 271 6" xfId="23208" xr:uid="{00000000-0005-0000-0000-0000A85A0000}"/>
    <cellStyle name="Normal 271 6 2" xfId="23209" xr:uid="{00000000-0005-0000-0000-0000A95A0000}"/>
    <cellStyle name="Normal 271 6 2 2" xfId="23210" xr:uid="{00000000-0005-0000-0000-0000AA5A0000}"/>
    <cellStyle name="Normal 271 6 3" xfId="23211" xr:uid="{00000000-0005-0000-0000-0000AB5A0000}"/>
    <cellStyle name="Normal 271 7" xfId="23212" xr:uid="{00000000-0005-0000-0000-0000AC5A0000}"/>
    <cellStyle name="Normal 272" xfId="23213" xr:uid="{00000000-0005-0000-0000-0000AD5A0000}"/>
    <cellStyle name="Normal 272 2" xfId="23214" xr:uid="{00000000-0005-0000-0000-0000AE5A0000}"/>
    <cellStyle name="Normal 272 2 2" xfId="23215" xr:uid="{00000000-0005-0000-0000-0000AF5A0000}"/>
    <cellStyle name="Normal 272 2 2 2" xfId="23216" xr:uid="{00000000-0005-0000-0000-0000B05A0000}"/>
    <cellStyle name="Normal 272 2 3" xfId="23217" xr:uid="{00000000-0005-0000-0000-0000B15A0000}"/>
    <cellStyle name="Normal 272 2 3 2" xfId="23218" xr:uid="{00000000-0005-0000-0000-0000B25A0000}"/>
    <cellStyle name="Normal 272 2 3 2 2" xfId="23219" xr:uid="{00000000-0005-0000-0000-0000B35A0000}"/>
    <cellStyle name="Normal 272 2 3 3" xfId="23220" xr:uid="{00000000-0005-0000-0000-0000B45A0000}"/>
    <cellStyle name="Normal 272 2 4" xfId="23221" xr:uid="{00000000-0005-0000-0000-0000B55A0000}"/>
    <cellStyle name="Normal 272 2 4 2" xfId="23222" xr:uid="{00000000-0005-0000-0000-0000B65A0000}"/>
    <cellStyle name="Normal 272 2 4 2 2" xfId="23223" xr:uid="{00000000-0005-0000-0000-0000B75A0000}"/>
    <cellStyle name="Normal 272 2 4 3" xfId="23224" xr:uid="{00000000-0005-0000-0000-0000B85A0000}"/>
    <cellStyle name="Normal 272 2 5" xfId="23225" xr:uid="{00000000-0005-0000-0000-0000B95A0000}"/>
    <cellStyle name="Normal 272 3" xfId="23226" xr:uid="{00000000-0005-0000-0000-0000BA5A0000}"/>
    <cellStyle name="Normal 272 3 2" xfId="23227" xr:uid="{00000000-0005-0000-0000-0000BB5A0000}"/>
    <cellStyle name="Normal 272 3 2 2" xfId="23228" xr:uid="{00000000-0005-0000-0000-0000BC5A0000}"/>
    <cellStyle name="Normal 272 3 2 2 2" xfId="23229" xr:uid="{00000000-0005-0000-0000-0000BD5A0000}"/>
    <cellStyle name="Normal 272 3 2 3" xfId="23230" xr:uid="{00000000-0005-0000-0000-0000BE5A0000}"/>
    <cellStyle name="Normal 272 3 2 3 2" xfId="23231" xr:uid="{00000000-0005-0000-0000-0000BF5A0000}"/>
    <cellStyle name="Normal 272 3 2 3 2 2" xfId="23232" xr:uid="{00000000-0005-0000-0000-0000C05A0000}"/>
    <cellStyle name="Normal 272 3 2 3 3" xfId="23233" xr:uid="{00000000-0005-0000-0000-0000C15A0000}"/>
    <cellStyle name="Normal 272 3 2 4" xfId="23234" xr:uid="{00000000-0005-0000-0000-0000C25A0000}"/>
    <cellStyle name="Normal 272 3 3" xfId="23235" xr:uid="{00000000-0005-0000-0000-0000C35A0000}"/>
    <cellStyle name="Normal 272 3 3 2" xfId="23236" xr:uid="{00000000-0005-0000-0000-0000C45A0000}"/>
    <cellStyle name="Normal 272 3 3 2 2" xfId="23237" xr:uid="{00000000-0005-0000-0000-0000C55A0000}"/>
    <cellStyle name="Normal 272 3 3 3" xfId="23238" xr:uid="{00000000-0005-0000-0000-0000C65A0000}"/>
    <cellStyle name="Normal 272 3 4" xfId="23239" xr:uid="{00000000-0005-0000-0000-0000C75A0000}"/>
    <cellStyle name="Normal 272 3 4 2" xfId="23240" xr:uid="{00000000-0005-0000-0000-0000C85A0000}"/>
    <cellStyle name="Normal 272 3 4 2 2" xfId="23241" xr:uid="{00000000-0005-0000-0000-0000C95A0000}"/>
    <cellStyle name="Normal 272 3 4 3" xfId="23242" xr:uid="{00000000-0005-0000-0000-0000CA5A0000}"/>
    <cellStyle name="Normal 272 3 5" xfId="23243" xr:uid="{00000000-0005-0000-0000-0000CB5A0000}"/>
    <cellStyle name="Normal 272 3 5 2" xfId="23244" xr:uid="{00000000-0005-0000-0000-0000CC5A0000}"/>
    <cellStyle name="Normal 272 3 5 2 2" xfId="23245" xr:uid="{00000000-0005-0000-0000-0000CD5A0000}"/>
    <cellStyle name="Normal 272 3 5 3" xfId="23246" xr:uid="{00000000-0005-0000-0000-0000CE5A0000}"/>
    <cellStyle name="Normal 272 3 6" xfId="23247" xr:uid="{00000000-0005-0000-0000-0000CF5A0000}"/>
    <cellStyle name="Normal 272 4" xfId="23248" xr:uid="{00000000-0005-0000-0000-0000D05A0000}"/>
    <cellStyle name="Normal 272 4 2" xfId="23249" xr:uid="{00000000-0005-0000-0000-0000D15A0000}"/>
    <cellStyle name="Normal 272 4 2 2" xfId="23250" xr:uid="{00000000-0005-0000-0000-0000D25A0000}"/>
    <cellStyle name="Normal 272 4 3" xfId="23251" xr:uid="{00000000-0005-0000-0000-0000D35A0000}"/>
    <cellStyle name="Normal 272 5" xfId="23252" xr:uid="{00000000-0005-0000-0000-0000D45A0000}"/>
    <cellStyle name="Normal 272 5 2" xfId="23253" xr:uid="{00000000-0005-0000-0000-0000D55A0000}"/>
    <cellStyle name="Normal 272 5 2 2" xfId="23254" xr:uid="{00000000-0005-0000-0000-0000D65A0000}"/>
    <cellStyle name="Normal 272 5 3" xfId="23255" xr:uid="{00000000-0005-0000-0000-0000D75A0000}"/>
    <cellStyle name="Normal 272 6" xfId="23256" xr:uid="{00000000-0005-0000-0000-0000D85A0000}"/>
    <cellStyle name="Normal 272 6 2" xfId="23257" xr:uid="{00000000-0005-0000-0000-0000D95A0000}"/>
    <cellStyle name="Normal 272 6 2 2" xfId="23258" xr:uid="{00000000-0005-0000-0000-0000DA5A0000}"/>
    <cellStyle name="Normal 272 6 3" xfId="23259" xr:uid="{00000000-0005-0000-0000-0000DB5A0000}"/>
    <cellStyle name="Normal 272 7" xfId="23260" xr:uid="{00000000-0005-0000-0000-0000DC5A0000}"/>
    <cellStyle name="Normal 273" xfId="23261" xr:uid="{00000000-0005-0000-0000-0000DD5A0000}"/>
    <cellStyle name="Normal 273 2" xfId="23262" xr:uid="{00000000-0005-0000-0000-0000DE5A0000}"/>
    <cellStyle name="Normal 273 2 2" xfId="23263" xr:uid="{00000000-0005-0000-0000-0000DF5A0000}"/>
    <cellStyle name="Normal 273 2 2 2" xfId="23264" xr:uid="{00000000-0005-0000-0000-0000E05A0000}"/>
    <cellStyle name="Normal 273 2 3" xfId="23265" xr:uid="{00000000-0005-0000-0000-0000E15A0000}"/>
    <cellStyle name="Normal 273 2 3 2" xfId="23266" xr:uid="{00000000-0005-0000-0000-0000E25A0000}"/>
    <cellStyle name="Normal 273 2 3 2 2" xfId="23267" xr:uid="{00000000-0005-0000-0000-0000E35A0000}"/>
    <cellStyle name="Normal 273 2 3 3" xfId="23268" xr:uid="{00000000-0005-0000-0000-0000E45A0000}"/>
    <cellStyle name="Normal 273 2 4" xfId="23269" xr:uid="{00000000-0005-0000-0000-0000E55A0000}"/>
    <cellStyle name="Normal 273 2 4 2" xfId="23270" xr:uid="{00000000-0005-0000-0000-0000E65A0000}"/>
    <cellStyle name="Normal 273 2 4 2 2" xfId="23271" xr:uid="{00000000-0005-0000-0000-0000E75A0000}"/>
    <cellStyle name="Normal 273 2 4 3" xfId="23272" xr:uid="{00000000-0005-0000-0000-0000E85A0000}"/>
    <cellStyle name="Normal 273 2 5" xfId="23273" xr:uid="{00000000-0005-0000-0000-0000E95A0000}"/>
    <cellStyle name="Normal 273 3" xfId="23274" xr:uid="{00000000-0005-0000-0000-0000EA5A0000}"/>
    <cellStyle name="Normal 273 3 2" xfId="23275" xr:uid="{00000000-0005-0000-0000-0000EB5A0000}"/>
    <cellStyle name="Normal 273 3 2 2" xfId="23276" xr:uid="{00000000-0005-0000-0000-0000EC5A0000}"/>
    <cellStyle name="Normal 273 3 2 2 2" xfId="23277" xr:uid="{00000000-0005-0000-0000-0000ED5A0000}"/>
    <cellStyle name="Normal 273 3 2 3" xfId="23278" xr:uid="{00000000-0005-0000-0000-0000EE5A0000}"/>
    <cellStyle name="Normal 273 3 2 3 2" xfId="23279" xr:uid="{00000000-0005-0000-0000-0000EF5A0000}"/>
    <cellStyle name="Normal 273 3 2 3 2 2" xfId="23280" xr:uid="{00000000-0005-0000-0000-0000F05A0000}"/>
    <cellStyle name="Normal 273 3 2 3 3" xfId="23281" xr:uid="{00000000-0005-0000-0000-0000F15A0000}"/>
    <cellStyle name="Normal 273 3 2 4" xfId="23282" xr:uid="{00000000-0005-0000-0000-0000F25A0000}"/>
    <cellStyle name="Normal 273 3 3" xfId="23283" xr:uid="{00000000-0005-0000-0000-0000F35A0000}"/>
    <cellStyle name="Normal 273 3 3 2" xfId="23284" xr:uid="{00000000-0005-0000-0000-0000F45A0000}"/>
    <cellStyle name="Normal 273 3 3 2 2" xfId="23285" xr:uid="{00000000-0005-0000-0000-0000F55A0000}"/>
    <cellStyle name="Normal 273 3 3 3" xfId="23286" xr:uid="{00000000-0005-0000-0000-0000F65A0000}"/>
    <cellStyle name="Normal 273 3 4" xfId="23287" xr:uid="{00000000-0005-0000-0000-0000F75A0000}"/>
    <cellStyle name="Normal 273 3 4 2" xfId="23288" xr:uid="{00000000-0005-0000-0000-0000F85A0000}"/>
    <cellStyle name="Normal 273 3 4 2 2" xfId="23289" xr:uid="{00000000-0005-0000-0000-0000F95A0000}"/>
    <cellStyle name="Normal 273 3 4 3" xfId="23290" xr:uid="{00000000-0005-0000-0000-0000FA5A0000}"/>
    <cellStyle name="Normal 273 3 5" xfId="23291" xr:uid="{00000000-0005-0000-0000-0000FB5A0000}"/>
    <cellStyle name="Normal 273 3 5 2" xfId="23292" xr:uid="{00000000-0005-0000-0000-0000FC5A0000}"/>
    <cellStyle name="Normal 273 3 5 2 2" xfId="23293" xr:uid="{00000000-0005-0000-0000-0000FD5A0000}"/>
    <cellStyle name="Normal 273 3 5 3" xfId="23294" xr:uid="{00000000-0005-0000-0000-0000FE5A0000}"/>
    <cellStyle name="Normal 273 3 6" xfId="23295" xr:uid="{00000000-0005-0000-0000-0000FF5A0000}"/>
    <cellStyle name="Normal 273 4" xfId="23296" xr:uid="{00000000-0005-0000-0000-0000005B0000}"/>
    <cellStyle name="Normal 273 4 2" xfId="23297" xr:uid="{00000000-0005-0000-0000-0000015B0000}"/>
    <cellStyle name="Normal 273 4 2 2" xfId="23298" xr:uid="{00000000-0005-0000-0000-0000025B0000}"/>
    <cellStyle name="Normal 273 4 3" xfId="23299" xr:uid="{00000000-0005-0000-0000-0000035B0000}"/>
    <cellStyle name="Normal 273 5" xfId="23300" xr:uid="{00000000-0005-0000-0000-0000045B0000}"/>
    <cellStyle name="Normal 273 5 2" xfId="23301" xr:uid="{00000000-0005-0000-0000-0000055B0000}"/>
    <cellStyle name="Normal 273 5 2 2" xfId="23302" xr:uid="{00000000-0005-0000-0000-0000065B0000}"/>
    <cellStyle name="Normal 273 5 3" xfId="23303" xr:uid="{00000000-0005-0000-0000-0000075B0000}"/>
    <cellStyle name="Normal 273 6" xfId="23304" xr:uid="{00000000-0005-0000-0000-0000085B0000}"/>
    <cellStyle name="Normal 273 6 2" xfId="23305" xr:uid="{00000000-0005-0000-0000-0000095B0000}"/>
    <cellStyle name="Normal 273 6 2 2" xfId="23306" xr:uid="{00000000-0005-0000-0000-00000A5B0000}"/>
    <cellStyle name="Normal 273 6 3" xfId="23307" xr:uid="{00000000-0005-0000-0000-00000B5B0000}"/>
    <cellStyle name="Normal 273 7" xfId="23308" xr:uid="{00000000-0005-0000-0000-00000C5B0000}"/>
    <cellStyle name="Normal 274" xfId="23309" xr:uid="{00000000-0005-0000-0000-00000D5B0000}"/>
    <cellStyle name="Normal 274 2" xfId="23310" xr:uid="{00000000-0005-0000-0000-00000E5B0000}"/>
    <cellStyle name="Normal 274 2 2" xfId="23311" xr:uid="{00000000-0005-0000-0000-00000F5B0000}"/>
    <cellStyle name="Normal 274 2 2 2" xfId="23312" xr:uid="{00000000-0005-0000-0000-0000105B0000}"/>
    <cellStyle name="Normal 274 2 3" xfId="23313" xr:uid="{00000000-0005-0000-0000-0000115B0000}"/>
    <cellStyle name="Normal 274 2 3 2" xfId="23314" xr:uid="{00000000-0005-0000-0000-0000125B0000}"/>
    <cellStyle name="Normal 274 2 3 2 2" xfId="23315" xr:uid="{00000000-0005-0000-0000-0000135B0000}"/>
    <cellStyle name="Normal 274 2 3 3" xfId="23316" xr:uid="{00000000-0005-0000-0000-0000145B0000}"/>
    <cellStyle name="Normal 274 2 4" xfId="23317" xr:uid="{00000000-0005-0000-0000-0000155B0000}"/>
    <cellStyle name="Normal 274 2 4 2" xfId="23318" xr:uid="{00000000-0005-0000-0000-0000165B0000}"/>
    <cellStyle name="Normal 274 2 4 2 2" xfId="23319" xr:uid="{00000000-0005-0000-0000-0000175B0000}"/>
    <cellStyle name="Normal 274 2 4 3" xfId="23320" xr:uid="{00000000-0005-0000-0000-0000185B0000}"/>
    <cellStyle name="Normal 274 2 5" xfId="23321" xr:uid="{00000000-0005-0000-0000-0000195B0000}"/>
    <cellStyle name="Normal 274 3" xfId="23322" xr:uid="{00000000-0005-0000-0000-00001A5B0000}"/>
    <cellStyle name="Normal 274 3 2" xfId="23323" xr:uid="{00000000-0005-0000-0000-00001B5B0000}"/>
    <cellStyle name="Normal 274 3 2 2" xfId="23324" xr:uid="{00000000-0005-0000-0000-00001C5B0000}"/>
    <cellStyle name="Normal 274 3 2 2 2" xfId="23325" xr:uid="{00000000-0005-0000-0000-00001D5B0000}"/>
    <cellStyle name="Normal 274 3 2 3" xfId="23326" xr:uid="{00000000-0005-0000-0000-00001E5B0000}"/>
    <cellStyle name="Normal 274 3 2 3 2" xfId="23327" xr:uid="{00000000-0005-0000-0000-00001F5B0000}"/>
    <cellStyle name="Normal 274 3 2 3 2 2" xfId="23328" xr:uid="{00000000-0005-0000-0000-0000205B0000}"/>
    <cellStyle name="Normal 274 3 2 3 3" xfId="23329" xr:uid="{00000000-0005-0000-0000-0000215B0000}"/>
    <cellStyle name="Normal 274 3 2 4" xfId="23330" xr:uid="{00000000-0005-0000-0000-0000225B0000}"/>
    <cellStyle name="Normal 274 3 3" xfId="23331" xr:uid="{00000000-0005-0000-0000-0000235B0000}"/>
    <cellStyle name="Normal 274 3 3 2" xfId="23332" xr:uid="{00000000-0005-0000-0000-0000245B0000}"/>
    <cellStyle name="Normal 274 3 3 2 2" xfId="23333" xr:uid="{00000000-0005-0000-0000-0000255B0000}"/>
    <cellStyle name="Normal 274 3 3 3" xfId="23334" xr:uid="{00000000-0005-0000-0000-0000265B0000}"/>
    <cellStyle name="Normal 274 3 4" xfId="23335" xr:uid="{00000000-0005-0000-0000-0000275B0000}"/>
    <cellStyle name="Normal 274 3 4 2" xfId="23336" xr:uid="{00000000-0005-0000-0000-0000285B0000}"/>
    <cellStyle name="Normal 274 3 4 2 2" xfId="23337" xr:uid="{00000000-0005-0000-0000-0000295B0000}"/>
    <cellStyle name="Normal 274 3 4 3" xfId="23338" xr:uid="{00000000-0005-0000-0000-00002A5B0000}"/>
    <cellStyle name="Normal 274 3 5" xfId="23339" xr:uid="{00000000-0005-0000-0000-00002B5B0000}"/>
    <cellStyle name="Normal 274 3 5 2" xfId="23340" xr:uid="{00000000-0005-0000-0000-00002C5B0000}"/>
    <cellStyle name="Normal 274 3 5 2 2" xfId="23341" xr:uid="{00000000-0005-0000-0000-00002D5B0000}"/>
    <cellStyle name="Normal 274 3 5 3" xfId="23342" xr:uid="{00000000-0005-0000-0000-00002E5B0000}"/>
    <cellStyle name="Normal 274 3 6" xfId="23343" xr:uid="{00000000-0005-0000-0000-00002F5B0000}"/>
    <cellStyle name="Normal 274 4" xfId="23344" xr:uid="{00000000-0005-0000-0000-0000305B0000}"/>
    <cellStyle name="Normal 274 4 2" xfId="23345" xr:uid="{00000000-0005-0000-0000-0000315B0000}"/>
    <cellStyle name="Normal 274 4 2 2" xfId="23346" xr:uid="{00000000-0005-0000-0000-0000325B0000}"/>
    <cellStyle name="Normal 274 4 3" xfId="23347" xr:uid="{00000000-0005-0000-0000-0000335B0000}"/>
    <cellStyle name="Normal 274 5" xfId="23348" xr:uid="{00000000-0005-0000-0000-0000345B0000}"/>
    <cellStyle name="Normal 274 5 2" xfId="23349" xr:uid="{00000000-0005-0000-0000-0000355B0000}"/>
    <cellStyle name="Normal 274 5 2 2" xfId="23350" xr:uid="{00000000-0005-0000-0000-0000365B0000}"/>
    <cellStyle name="Normal 274 5 3" xfId="23351" xr:uid="{00000000-0005-0000-0000-0000375B0000}"/>
    <cellStyle name="Normal 274 6" xfId="23352" xr:uid="{00000000-0005-0000-0000-0000385B0000}"/>
    <cellStyle name="Normal 274 6 2" xfId="23353" xr:uid="{00000000-0005-0000-0000-0000395B0000}"/>
    <cellStyle name="Normal 274 6 2 2" xfId="23354" xr:uid="{00000000-0005-0000-0000-00003A5B0000}"/>
    <cellStyle name="Normal 274 6 3" xfId="23355" xr:uid="{00000000-0005-0000-0000-00003B5B0000}"/>
    <cellStyle name="Normal 274 7" xfId="23356" xr:uid="{00000000-0005-0000-0000-00003C5B0000}"/>
    <cellStyle name="Normal 275" xfId="23357" xr:uid="{00000000-0005-0000-0000-00003D5B0000}"/>
    <cellStyle name="Normal 275 2" xfId="23358" xr:uid="{00000000-0005-0000-0000-00003E5B0000}"/>
    <cellStyle name="Normal 275 2 2" xfId="23359" xr:uid="{00000000-0005-0000-0000-00003F5B0000}"/>
    <cellStyle name="Normal 275 2 2 2" xfId="23360" xr:uid="{00000000-0005-0000-0000-0000405B0000}"/>
    <cellStyle name="Normal 275 2 3" xfId="23361" xr:uid="{00000000-0005-0000-0000-0000415B0000}"/>
    <cellStyle name="Normal 275 2 3 2" xfId="23362" xr:uid="{00000000-0005-0000-0000-0000425B0000}"/>
    <cellStyle name="Normal 275 2 3 2 2" xfId="23363" xr:uid="{00000000-0005-0000-0000-0000435B0000}"/>
    <cellStyle name="Normal 275 2 3 3" xfId="23364" xr:uid="{00000000-0005-0000-0000-0000445B0000}"/>
    <cellStyle name="Normal 275 2 4" xfId="23365" xr:uid="{00000000-0005-0000-0000-0000455B0000}"/>
    <cellStyle name="Normal 275 2 4 2" xfId="23366" xr:uid="{00000000-0005-0000-0000-0000465B0000}"/>
    <cellStyle name="Normal 275 2 4 2 2" xfId="23367" xr:uid="{00000000-0005-0000-0000-0000475B0000}"/>
    <cellStyle name="Normal 275 2 4 3" xfId="23368" xr:uid="{00000000-0005-0000-0000-0000485B0000}"/>
    <cellStyle name="Normal 275 2 5" xfId="23369" xr:uid="{00000000-0005-0000-0000-0000495B0000}"/>
    <cellStyle name="Normal 275 3" xfId="23370" xr:uid="{00000000-0005-0000-0000-00004A5B0000}"/>
    <cellStyle name="Normal 275 3 2" xfId="23371" xr:uid="{00000000-0005-0000-0000-00004B5B0000}"/>
    <cellStyle name="Normal 275 3 2 2" xfId="23372" xr:uid="{00000000-0005-0000-0000-00004C5B0000}"/>
    <cellStyle name="Normal 275 3 2 2 2" xfId="23373" xr:uid="{00000000-0005-0000-0000-00004D5B0000}"/>
    <cellStyle name="Normal 275 3 2 3" xfId="23374" xr:uid="{00000000-0005-0000-0000-00004E5B0000}"/>
    <cellStyle name="Normal 275 3 2 3 2" xfId="23375" xr:uid="{00000000-0005-0000-0000-00004F5B0000}"/>
    <cellStyle name="Normal 275 3 2 3 2 2" xfId="23376" xr:uid="{00000000-0005-0000-0000-0000505B0000}"/>
    <cellStyle name="Normal 275 3 2 3 3" xfId="23377" xr:uid="{00000000-0005-0000-0000-0000515B0000}"/>
    <cellStyle name="Normal 275 3 2 4" xfId="23378" xr:uid="{00000000-0005-0000-0000-0000525B0000}"/>
    <cellStyle name="Normal 275 3 3" xfId="23379" xr:uid="{00000000-0005-0000-0000-0000535B0000}"/>
    <cellStyle name="Normal 275 3 3 2" xfId="23380" xr:uid="{00000000-0005-0000-0000-0000545B0000}"/>
    <cellStyle name="Normal 275 3 3 2 2" xfId="23381" xr:uid="{00000000-0005-0000-0000-0000555B0000}"/>
    <cellStyle name="Normal 275 3 3 3" xfId="23382" xr:uid="{00000000-0005-0000-0000-0000565B0000}"/>
    <cellStyle name="Normal 275 3 4" xfId="23383" xr:uid="{00000000-0005-0000-0000-0000575B0000}"/>
    <cellStyle name="Normal 275 3 4 2" xfId="23384" xr:uid="{00000000-0005-0000-0000-0000585B0000}"/>
    <cellStyle name="Normal 275 3 4 2 2" xfId="23385" xr:uid="{00000000-0005-0000-0000-0000595B0000}"/>
    <cellStyle name="Normal 275 3 4 3" xfId="23386" xr:uid="{00000000-0005-0000-0000-00005A5B0000}"/>
    <cellStyle name="Normal 275 3 5" xfId="23387" xr:uid="{00000000-0005-0000-0000-00005B5B0000}"/>
    <cellStyle name="Normal 275 3 5 2" xfId="23388" xr:uid="{00000000-0005-0000-0000-00005C5B0000}"/>
    <cellStyle name="Normal 275 3 5 2 2" xfId="23389" xr:uid="{00000000-0005-0000-0000-00005D5B0000}"/>
    <cellStyle name="Normal 275 3 5 3" xfId="23390" xr:uid="{00000000-0005-0000-0000-00005E5B0000}"/>
    <cellStyle name="Normal 275 3 6" xfId="23391" xr:uid="{00000000-0005-0000-0000-00005F5B0000}"/>
    <cellStyle name="Normal 275 4" xfId="23392" xr:uid="{00000000-0005-0000-0000-0000605B0000}"/>
    <cellStyle name="Normal 275 4 2" xfId="23393" xr:uid="{00000000-0005-0000-0000-0000615B0000}"/>
    <cellStyle name="Normal 275 4 2 2" xfId="23394" xr:uid="{00000000-0005-0000-0000-0000625B0000}"/>
    <cellStyle name="Normal 275 4 3" xfId="23395" xr:uid="{00000000-0005-0000-0000-0000635B0000}"/>
    <cellStyle name="Normal 275 5" xfId="23396" xr:uid="{00000000-0005-0000-0000-0000645B0000}"/>
    <cellStyle name="Normal 275 5 2" xfId="23397" xr:uid="{00000000-0005-0000-0000-0000655B0000}"/>
    <cellStyle name="Normal 275 5 2 2" xfId="23398" xr:uid="{00000000-0005-0000-0000-0000665B0000}"/>
    <cellStyle name="Normal 275 5 3" xfId="23399" xr:uid="{00000000-0005-0000-0000-0000675B0000}"/>
    <cellStyle name="Normal 275 6" xfId="23400" xr:uid="{00000000-0005-0000-0000-0000685B0000}"/>
    <cellStyle name="Normal 275 6 2" xfId="23401" xr:uid="{00000000-0005-0000-0000-0000695B0000}"/>
    <cellStyle name="Normal 275 6 2 2" xfId="23402" xr:uid="{00000000-0005-0000-0000-00006A5B0000}"/>
    <cellStyle name="Normal 275 6 3" xfId="23403" xr:uid="{00000000-0005-0000-0000-00006B5B0000}"/>
    <cellStyle name="Normal 275 7" xfId="23404" xr:uid="{00000000-0005-0000-0000-00006C5B0000}"/>
    <cellStyle name="Normal 276" xfId="23405" xr:uid="{00000000-0005-0000-0000-00006D5B0000}"/>
    <cellStyle name="Normal 276 2" xfId="23406" xr:uid="{00000000-0005-0000-0000-00006E5B0000}"/>
    <cellStyle name="Normal 276 2 2" xfId="23407" xr:uid="{00000000-0005-0000-0000-00006F5B0000}"/>
    <cellStyle name="Normal 276 2 2 2" xfId="23408" xr:uid="{00000000-0005-0000-0000-0000705B0000}"/>
    <cellStyle name="Normal 276 2 3" xfId="23409" xr:uid="{00000000-0005-0000-0000-0000715B0000}"/>
    <cellStyle name="Normal 276 2 3 2" xfId="23410" xr:uid="{00000000-0005-0000-0000-0000725B0000}"/>
    <cellStyle name="Normal 276 2 3 2 2" xfId="23411" xr:uid="{00000000-0005-0000-0000-0000735B0000}"/>
    <cellStyle name="Normal 276 2 3 3" xfId="23412" xr:uid="{00000000-0005-0000-0000-0000745B0000}"/>
    <cellStyle name="Normal 276 2 4" xfId="23413" xr:uid="{00000000-0005-0000-0000-0000755B0000}"/>
    <cellStyle name="Normal 276 2 4 2" xfId="23414" xr:uid="{00000000-0005-0000-0000-0000765B0000}"/>
    <cellStyle name="Normal 276 2 4 2 2" xfId="23415" xr:uid="{00000000-0005-0000-0000-0000775B0000}"/>
    <cellStyle name="Normal 276 2 4 3" xfId="23416" xr:uid="{00000000-0005-0000-0000-0000785B0000}"/>
    <cellStyle name="Normal 276 2 5" xfId="23417" xr:uid="{00000000-0005-0000-0000-0000795B0000}"/>
    <cellStyle name="Normal 276 3" xfId="23418" xr:uid="{00000000-0005-0000-0000-00007A5B0000}"/>
    <cellStyle name="Normal 276 3 2" xfId="23419" xr:uid="{00000000-0005-0000-0000-00007B5B0000}"/>
    <cellStyle name="Normal 276 3 2 2" xfId="23420" xr:uid="{00000000-0005-0000-0000-00007C5B0000}"/>
    <cellStyle name="Normal 276 3 2 2 2" xfId="23421" xr:uid="{00000000-0005-0000-0000-00007D5B0000}"/>
    <cellStyle name="Normal 276 3 2 3" xfId="23422" xr:uid="{00000000-0005-0000-0000-00007E5B0000}"/>
    <cellStyle name="Normal 276 3 2 3 2" xfId="23423" xr:uid="{00000000-0005-0000-0000-00007F5B0000}"/>
    <cellStyle name="Normal 276 3 2 3 2 2" xfId="23424" xr:uid="{00000000-0005-0000-0000-0000805B0000}"/>
    <cellStyle name="Normal 276 3 2 3 3" xfId="23425" xr:uid="{00000000-0005-0000-0000-0000815B0000}"/>
    <cellStyle name="Normal 276 3 2 4" xfId="23426" xr:uid="{00000000-0005-0000-0000-0000825B0000}"/>
    <cellStyle name="Normal 276 3 3" xfId="23427" xr:uid="{00000000-0005-0000-0000-0000835B0000}"/>
    <cellStyle name="Normal 276 3 3 2" xfId="23428" xr:uid="{00000000-0005-0000-0000-0000845B0000}"/>
    <cellStyle name="Normal 276 3 3 2 2" xfId="23429" xr:uid="{00000000-0005-0000-0000-0000855B0000}"/>
    <cellStyle name="Normal 276 3 3 3" xfId="23430" xr:uid="{00000000-0005-0000-0000-0000865B0000}"/>
    <cellStyle name="Normal 276 3 4" xfId="23431" xr:uid="{00000000-0005-0000-0000-0000875B0000}"/>
    <cellStyle name="Normal 276 3 4 2" xfId="23432" xr:uid="{00000000-0005-0000-0000-0000885B0000}"/>
    <cellStyle name="Normal 276 3 4 2 2" xfId="23433" xr:uid="{00000000-0005-0000-0000-0000895B0000}"/>
    <cellStyle name="Normal 276 3 4 3" xfId="23434" xr:uid="{00000000-0005-0000-0000-00008A5B0000}"/>
    <cellStyle name="Normal 276 3 5" xfId="23435" xr:uid="{00000000-0005-0000-0000-00008B5B0000}"/>
    <cellStyle name="Normal 276 3 5 2" xfId="23436" xr:uid="{00000000-0005-0000-0000-00008C5B0000}"/>
    <cellStyle name="Normal 276 3 5 2 2" xfId="23437" xr:uid="{00000000-0005-0000-0000-00008D5B0000}"/>
    <cellStyle name="Normal 276 3 5 3" xfId="23438" xr:uid="{00000000-0005-0000-0000-00008E5B0000}"/>
    <cellStyle name="Normal 276 3 6" xfId="23439" xr:uid="{00000000-0005-0000-0000-00008F5B0000}"/>
    <cellStyle name="Normal 276 4" xfId="23440" xr:uid="{00000000-0005-0000-0000-0000905B0000}"/>
    <cellStyle name="Normal 276 4 2" xfId="23441" xr:uid="{00000000-0005-0000-0000-0000915B0000}"/>
    <cellStyle name="Normal 276 4 2 2" xfId="23442" xr:uid="{00000000-0005-0000-0000-0000925B0000}"/>
    <cellStyle name="Normal 276 4 3" xfId="23443" xr:uid="{00000000-0005-0000-0000-0000935B0000}"/>
    <cellStyle name="Normal 276 5" xfId="23444" xr:uid="{00000000-0005-0000-0000-0000945B0000}"/>
    <cellStyle name="Normal 276 5 2" xfId="23445" xr:uid="{00000000-0005-0000-0000-0000955B0000}"/>
    <cellStyle name="Normal 276 5 2 2" xfId="23446" xr:uid="{00000000-0005-0000-0000-0000965B0000}"/>
    <cellStyle name="Normal 276 5 3" xfId="23447" xr:uid="{00000000-0005-0000-0000-0000975B0000}"/>
    <cellStyle name="Normal 276 6" xfId="23448" xr:uid="{00000000-0005-0000-0000-0000985B0000}"/>
    <cellStyle name="Normal 276 6 2" xfId="23449" xr:uid="{00000000-0005-0000-0000-0000995B0000}"/>
    <cellStyle name="Normal 276 6 2 2" xfId="23450" xr:uid="{00000000-0005-0000-0000-00009A5B0000}"/>
    <cellStyle name="Normal 276 6 3" xfId="23451" xr:uid="{00000000-0005-0000-0000-00009B5B0000}"/>
    <cellStyle name="Normal 276 7" xfId="23452" xr:uid="{00000000-0005-0000-0000-00009C5B0000}"/>
    <cellStyle name="Normal 277" xfId="23453" xr:uid="{00000000-0005-0000-0000-00009D5B0000}"/>
    <cellStyle name="Normal 277 2" xfId="23454" xr:uid="{00000000-0005-0000-0000-00009E5B0000}"/>
    <cellStyle name="Normal 277 2 2" xfId="23455" xr:uid="{00000000-0005-0000-0000-00009F5B0000}"/>
    <cellStyle name="Normal 277 2 2 2" xfId="23456" xr:uid="{00000000-0005-0000-0000-0000A05B0000}"/>
    <cellStyle name="Normal 277 2 3" xfId="23457" xr:uid="{00000000-0005-0000-0000-0000A15B0000}"/>
    <cellStyle name="Normal 277 2 3 2" xfId="23458" xr:uid="{00000000-0005-0000-0000-0000A25B0000}"/>
    <cellStyle name="Normal 277 2 3 2 2" xfId="23459" xr:uid="{00000000-0005-0000-0000-0000A35B0000}"/>
    <cellStyle name="Normal 277 2 3 3" xfId="23460" xr:uid="{00000000-0005-0000-0000-0000A45B0000}"/>
    <cellStyle name="Normal 277 2 4" xfId="23461" xr:uid="{00000000-0005-0000-0000-0000A55B0000}"/>
    <cellStyle name="Normal 277 2 4 2" xfId="23462" xr:uid="{00000000-0005-0000-0000-0000A65B0000}"/>
    <cellStyle name="Normal 277 2 4 2 2" xfId="23463" xr:uid="{00000000-0005-0000-0000-0000A75B0000}"/>
    <cellStyle name="Normal 277 2 4 3" xfId="23464" xr:uid="{00000000-0005-0000-0000-0000A85B0000}"/>
    <cellStyle name="Normal 277 2 5" xfId="23465" xr:uid="{00000000-0005-0000-0000-0000A95B0000}"/>
    <cellStyle name="Normal 277 3" xfId="23466" xr:uid="{00000000-0005-0000-0000-0000AA5B0000}"/>
    <cellStyle name="Normal 277 3 2" xfId="23467" xr:uid="{00000000-0005-0000-0000-0000AB5B0000}"/>
    <cellStyle name="Normal 277 3 2 2" xfId="23468" xr:uid="{00000000-0005-0000-0000-0000AC5B0000}"/>
    <cellStyle name="Normal 277 3 2 2 2" xfId="23469" xr:uid="{00000000-0005-0000-0000-0000AD5B0000}"/>
    <cellStyle name="Normal 277 3 2 3" xfId="23470" xr:uid="{00000000-0005-0000-0000-0000AE5B0000}"/>
    <cellStyle name="Normal 277 3 2 3 2" xfId="23471" xr:uid="{00000000-0005-0000-0000-0000AF5B0000}"/>
    <cellStyle name="Normal 277 3 2 3 2 2" xfId="23472" xr:uid="{00000000-0005-0000-0000-0000B05B0000}"/>
    <cellStyle name="Normal 277 3 2 3 3" xfId="23473" xr:uid="{00000000-0005-0000-0000-0000B15B0000}"/>
    <cellStyle name="Normal 277 3 2 4" xfId="23474" xr:uid="{00000000-0005-0000-0000-0000B25B0000}"/>
    <cellStyle name="Normal 277 3 3" xfId="23475" xr:uid="{00000000-0005-0000-0000-0000B35B0000}"/>
    <cellStyle name="Normal 277 3 3 2" xfId="23476" xr:uid="{00000000-0005-0000-0000-0000B45B0000}"/>
    <cellStyle name="Normal 277 3 3 2 2" xfId="23477" xr:uid="{00000000-0005-0000-0000-0000B55B0000}"/>
    <cellStyle name="Normal 277 3 3 3" xfId="23478" xr:uid="{00000000-0005-0000-0000-0000B65B0000}"/>
    <cellStyle name="Normal 277 3 4" xfId="23479" xr:uid="{00000000-0005-0000-0000-0000B75B0000}"/>
    <cellStyle name="Normal 277 3 4 2" xfId="23480" xr:uid="{00000000-0005-0000-0000-0000B85B0000}"/>
    <cellStyle name="Normal 277 3 4 2 2" xfId="23481" xr:uid="{00000000-0005-0000-0000-0000B95B0000}"/>
    <cellStyle name="Normal 277 3 4 3" xfId="23482" xr:uid="{00000000-0005-0000-0000-0000BA5B0000}"/>
    <cellStyle name="Normal 277 3 5" xfId="23483" xr:uid="{00000000-0005-0000-0000-0000BB5B0000}"/>
    <cellStyle name="Normal 277 3 5 2" xfId="23484" xr:uid="{00000000-0005-0000-0000-0000BC5B0000}"/>
    <cellStyle name="Normal 277 3 5 2 2" xfId="23485" xr:uid="{00000000-0005-0000-0000-0000BD5B0000}"/>
    <cellStyle name="Normal 277 3 5 3" xfId="23486" xr:uid="{00000000-0005-0000-0000-0000BE5B0000}"/>
    <cellStyle name="Normal 277 3 6" xfId="23487" xr:uid="{00000000-0005-0000-0000-0000BF5B0000}"/>
    <cellStyle name="Normal 277 4" xfId="23488" xr:uid="{00000000-0005-0000-0000-0000C05B0000}"/>
    <cellStyle name="Normal 277 4 2" xfId="23489" xr:uid="{00000000-0005-0000-0000-0000C15B0000}"/>
    <cellStyle name="Normal 277 4 2 2" xfId="23490" xr:uid="{00000000-0005-0000-0000-0000C25B0000}"/>
    <cellStyle name="Normal 277 4 3" xfId="23491" xr:uid="{00000000-0005-0000-0000-0000C35B0000}"/>
    <cellStyle name="Normal 277 5" xfId="23492" xr:uid="{00000000-0005-0000-0000-0000C45B0000}"/>
    <cellStyle name="Normal 277 5 2" xfId="23493" xr:uid="{00000000-0005-0000-0000-0000C55B0000}"/>
    <cellStyle name="Normal 277 5 2 2" xfId="23494" xr:uid="{00000000-0005-0000-0000-0000C65B0000}"/>
    <cellStyle name="Normal 277 5 3" xfId="23495" xr:uid="{00000000-0005-0000-0000-0000C75B0000}"/>
    <cellStyle name="Normal 277 6" xfId="23496" xr:uid="{00000000-0005-0000-0000-0000C85B0000}"/>
    <cellStyle name="Normal 277 6 2" xfId="23497" xr:uid="{00000000-0005-0000-0000-0000C95B0000}"/>
    <cellStyle name="Normal 277 6 2 2" xfId="23498" xr:uid="{00000000-0005-0000-0000-0000CA5B0000}"/>
    <cellStyle name="Normal 277 6 3" xfId="23499" xr:uid="{00000000-0005-0000-0000-0000CB5B0000}"/>
    <cellStyle name="Normal 277 7" xfId="23500" xr:uid="{00000000-0005-0000-0000-0000CC5B0000}"/>
    <cellStyle name="Normal 278" xfId="23501" xr:uid="{00000000-0005-0000-0000-0000CD5B0000}"/>
    <cellStyle name="Normal 278 2" xfId="23502" xr:uid="{00000000-0005-0000-0000-0000CE5B0000}"/>
    <cellStyle name="Normal 278 2 2" xfId="23503" xr:uid="{00000000-0005-0000-0000-0000CF5B0000}"/>
    <cellStyle name="Normal 278 2 2 2" xfId="23504" xr:uid="{00000000-0005-0000-0000-0000D05B0000}"/>
    <cellStyle name="Normal 278 2 3" xfId="23505" xr:uid="{00000000-0005-0000-0000-0000D15B0000}"/>
    <cellStyle name="Normal 278 2 3 2" xfId="23506" xr:uid="{00000000-0005-0000-0000-0000D25B0000}"/>
    <cellStyle name="Normal 278 2 3 2 2" xfId="23507" xr:uid="{00000000-0005-0000-0000-0000D35B0000}"/>
    <cellStyle name="Normal 278 2 3 3" xfId="23508" xr:uid="{00000000-0005-0000-0000-0000D45B0000}"/>
    <cellStyle name="Normal 278 2 4" xfId="23509" xr:uid="{00000000-0005-0000-0000-0000D55B0000}"/>
    <cellStyle name="Normal 278 2 4 2" xfId="23510" xr:uid="{00000000-0005-0000-0000-0000D65B0000}"/>
    <cellStyle name="Normal 278 2 4 2 2" xfId="23511" xr:uid="{00000000-0005-0000-0000-0000D75B0000}"/>
    <cellStyle name="Normal 278 2 4 3" xfId="23512" xr:uid="{00000000-0005-0000-0000-0000D85B0000}"/>
    <cellStyle name="Normal 278 2 5" xfId="23513" xr:uid="{00000000-0005-0000-0000-0000D95B0000}"/>
    <cellStyle name="Normal 278 3" xfId="23514" xr:uid="{00000000-0005-0000-0000-0000DA5B0000}"/>
    <cellStyle name="Normal 278 3 2" xfId="23515" xr:uid="{00000000-0005-0000-0000-0000DB5B0000}"/>
    <cellStyle name="Normal 278 3 2 2" xfId="23516" xr:uid="{00000000-0005-0000-0000-0000DC5B0000}"/>
    <cellStyle name="Normal 278 3 2 2 2" xfId="23517" xr:uid="{00000000-0005-0000-0000-0000DD5B0000}"/>
    <cellStyle name="Normal 278 3 2 3" xfId="23518" xr:uid="{00000000-0005-0000-0000-0000DE5B0000}"/>
    <cellStyle name="Normal 278 3 2 3 2" xfId="23519" xr:uid="{00000000-0005-0000-0000-0000DF5B0000}"/>
    <cellStyle name="Normal 278 3 2 3 2 2" xfId="23520" xr:uid="{00000000-0005-0000-0000-0000E05B0000}"/>
    <cellStyle name="Normal 278 3 2 3 3" xfId="23521" xr:uid="{00000000-0005-0000-0000-0000E15B0000}"/>
    <cellStyle name="Normal 278 3 2 4" xfId="23522" xr:uid="{00000000-0005-0000-0000-0000E25B0000}"/>
    <cellStyle name="Normal 278 3 3" xfId="23523" xr:uid="{00000000-0005-0000-0000-0000E35B0000}"/>
    <cellStyle name="Normal 278 3 3 2" xfId="23524" xr:uid="{00000000-0005-0000-0000-0000E45B0000}"/>
    <cellStyle name="Normal 278 3 3 2 2" xfId="23525" xr:uid="{00000000-0005-0000-0000-0000E55B0000}"/>
    <cellStyle name="Normal 278 3 3 3" xfId="23526" xr:uid="{00000000-0005-0000-0000-0000E65B0000}"/>
    <cellStyle name="Normal 278 3 4" xfId="23527" xr:uid="{00000000-0005-0000-0000-0000E75B0000}"/>
    <cellStyle name="Normal 278 3 4 2" xfId="23528" xr:uid="{00000000-0005-0000-0000-0000E85B0000}"/>
    <cellStyle name="Normal 278 3 4 2 2" xfId="23529" xr:uid="{00000000-0005-0000-0000-0000E95B0000}"/>
    <cellStyle name="Normal 278 3 4 3" xfId="23530" xr:uid="{00000000-0005-0000-0000-0000EA5B0000}"/>
    <cellStyle name="Normal 278 3 5" xfId="23531" xr:uid="{00000000-0005-0000-0000-0000EB5B0000}"/>
    <cellStyle name="Normal 278 3 5 2" xfId="23532" xr:uid="{00000000-0005-0000-0000-0000EC5B0000}"/>
    <cellStyle name="Normal 278 3 5 2 2" xfId="23533" xr:uid="{00000000-0005-0000-0000-0000ED5B0000}"/>
    <cellStyle name="Normal 278 3 5 3" xfId="23534" xr:uid="{00000000-0005-0000-0000-0000EE5B0000}"/>
    <cellStyle name="Normal 278 3 6" xfId="23535" xr:uid="{00000000-0005-0000-0000-0000EF5B0000}"/>
    <cellStyle name="Normal 278 4" xfId="23536" xr:uid="{00000000-0005-0000-0000-0000F05B0000}"/>
    <cellStyle name="Normal 278 4 2" xfId="23537" xr:uid="{00000000-0005-0000-0000-0000F15B0000}"/>
    <cellStyle name="Normal 278 4 2 2" xfId="23538" xr:uid="{00000000-0005-0000-0000-0000F25B0000}"/>
    <cellStyle name="Normal 278 4 3" xfId="23539" xr:uid="{00000000-0005-0000-0000-0000F35B0000}"/>
    <cellStyle name="Normal 278 5" xfId="23540" xr:uid="{00000000-0005-0000-0000-0000F45B0000}"/>
    <cellStyle name="Normal 278 5 2" xfId="23541" xr:uid="{00000000-0005-0000-0000-0000F55B0000}"/>
    <cellStyle name="Normal 278 5 2 2" xfId="23542" xr:uid="{00000000-0005-0000-0000-0000F65B0000}"/>
    <cellStyle name="Normal 278 5 3" xfId="23543" xr:uid="{00000000-0005-0000-0000-0000F75B0000}"/>
    <cellStyle name="Normal 278 6" xfId="23544" xr:uid="{00000000-0005-0000-0000-0000F85B0000}"/>
    <cellStyle name="Normal 278 6 2" xfId="23545" xr:uid="{00000000-0005-0000-0000-0000F95B0000}"/>
    <cellStyle name="Normal 278 6 2 2" xfId="23546" xr:uid="{00000000-0005-0000-0000-0000FA5B0000}"/>
    <cellStyle name="Normal 278 6 3" xfId="23547" xr:uid="{00000000-0005-0000-0000-0000FB5B0000}"/>
    <cellStyle name="Normal 278 7" xfId="23548" xr:uid="{00000000-0005-0000-0000-0000FC5B0000}"/>
    <cellStyle name="Normal 279" xfId="23549" xr:uid="{00000000-0005-0000-0000-0000FD5B0000}"/>
    <cellStyle name="Normal 279 2" xfId="23550" xr:uid="{00000000-0005-0000-0000-0000FE5B0000}"/>
    <cellStyle name="Normal 279 2 2" xfId="23551" xr:uid="{00000000-0005-0000-0000-0000FF5B0000}"/>
    <cellStyle name="Normal 279 2 2 2" xfId="23552" xr:uid="{00000000-0005-0000-0000-0000005C0000}"/>
    <cellStyle name="Normal 279 2 3" xfId="23553" xr:uid="{00000000-0005-0000-0000-0000015C0000}"/>
    <cellStyle name="Normal 279 2 3 2" xfId="23554" xr:uid="{00000000-0005-0000-0000-0000025C0000}"/>
    <cellStyle name="Normal 279 2 3 2 2" xfId="23555" xr:uid="{00000000-0005-0000-0000-0000035C0000}"/>
    <cellStyle name="Normal 279 2 3 3" xfId="23556" xr:uid="{00000000-0005-0000-0000-0000045C0000}"/>
    <cellStyle name="Normal 279 2 4" xfId="23557" xr:uid="{00000000-0005-0000-0000-0000055C0000}"/>
    <cellStyle name="Normal 279 2 4 2" xfId="23558" xr:uid="{00000000-0005-0000-0000-0000065C0000}"/>
    <cellStyle name="Normal 279 2 4 2 2" xfId="23559" xr:uid="{00000000-0005-0000-0000-0000075C0000}"/>
    <cellStyle name="Normal 279 2 4 3" xfId="23560" xr:uid="{00000000-0005-0000-0000-0000085C0000}"/>
    <cellStyle name="Normal 279 2 5" xfId="23561" xr:uid="{00000000-0005-0000-0000-0000095C0000}"/>
    <cellStyle name="Normal 279 3" xfId="23562" xr:uid="{00000000-0005-0000-0000-00000A5C0000}"/>
    <cellStyle name="Normal 279 3 2" xfId="23563" xr:uid="{00000000-0005-0000-0000-00000B5C0000}"/>
    <cellStyle name="Normal 279 3 2 2" xfId="23564" xr:uid="{00000000-0005-0000-0000-00000C5C0000}"/>
    <cellStyle name="Normal 279 3 2 2 2" xfId="23565" xr:uid="{00000000-0005-0000-0000-00000D5C0000}"/>
    <cellStyle name="Normal 279 3 2 3" xfId="23566" xr:uid="{00000000-0005-0000-0000-00000E5C0000}"/>
    <cellStyle name="Normal 279 3 2 3 2" xfId="23567" xr:uid="{00000000-0005-0000-0000-00000F5C0000}"/>
    <cellStyle name="Normal 279 3 2 3 2 2" xfId="23568" xr:uid="{00000000-0005-0000-0000-0000105C0000}"/>
    <cellStyle name="Normal 279 3 2 3 3" xfId="23569" xr:uid="{00000000-0005-0000-0000-0000115C0000}"/>
    <cellStyle name="Normal 279 3 2 4" xfId="23570" xr:uid="{00000000-0005-0000-0000-0000125C0000}"/>
    <cellStyle name="Normal 279 3 3" xfId="23571" xr:uid="{00000000-0005-0000-0000-0000135C0000}"/>
    <cellStyle name="Normal 279 3 3 2" xfId="23572" xr:uid="{00000000-0005-0000-0000-0000145C0000}"/>
    <cellStyle name="Normal 279 3 3 2 2" xfId="23573" xr:uid="{00000000-0005-0000-0000-0000155C0000}"/>
    <cellStyle name="Normal 279 3 3 3" xfId="23574" xr:uid="{00000000-0005-0000-0000-0000165C0000}"/>
    <cellStyle name="Normal 279 3 4" xfId="23575" xr:uid="{00000000-0005-0000-0000-0000175C0000}"/>
    <cellStyle name="Normal 279 3 4 2" xfId="23576" xr:uid="{00000000-0005-0000-0000-0000185C0000}"/>
    <cellStyle name="Normal 279 3 4 2 2" xfId="23577" xr:uid="{00000000-0005-0000-0000-0000195C0000}"/>
    <cellStyle name="Normal 279 3 4 3" xfId="23578" xr:uid="{00000000-0005-0000-0000-00001A5C0000}"/>
    <cellStyle name="Normal 279 3 5" xfId="23579" xr:uid="{00000000-0005-0000-0000-00001B5C0000}"/>
    <cellStyle name="Normal 279 3 5 2" xfId="23580" xr:uid="{00000000-0005-0000-0000-00001C5C0000}"/>
    <cellStyle name="Normal 279 3 5 2 2" xfId="23581" xr:uid="{00000000-0005-0000-0000-00001D5C0000}"/>
    <cellStyle name="Normal 279 3 5 3" xfId="23582" xr:uid="{00000000-0005-0000-0000-00001E5C0000}"/>
    <cellStyle name="Normal 279 3 6" xfId="23583" xr:uid="{00000000-0005-0000-0000-00001F5C0000}"/>
    <cellStyle name="Normal 279 4" xfId="23584" xr:uid="{00000000-0005-0000-0000-0000205C0000}"/>
    <cellStyle name="Normal 279 4 2" xfId="23585" xr:uid="{00000000-0005-0000-0000-0000215C0000}"/>
    <cellStyle name="Normal 279 4 2 2" xfId="23586" xr:uid="{00000000-0005-0000-0000-0000225C0000}"/>
    <cellStyle name="Normal 279 4 3" xfId="23587" xr:uid="{00000000-0005-0000-0000-0000235C0000}"/>
    <cellStyle name="Normal 279 5" xfId="23588" xr:uid="{00000000-0005-0000-0000-0000245C0000}"/>
    <cellStyle name="Normal 279 5 2" xfId="23589" xr:uid="{00000000-0005-0000-0000-0000255C0000}"/>
    <cellStyle name="Normal 279 5 2 2" xfId="23590" xr:uid="{00000000-0005-0000-0000-0000265C0000}"/>
    <cellStyle name="Normal 279 5 3" xfId="23591" xr:uid="{00000000-0005-0000-0000-0000275C0000}"/>
    <cellStyle name="Normal 279 6" xfId="23592" xr:uid="{00000000-0005-0000-0000-0000285C0000}"/>
    <cellStyle name="Normal 279 6 2" xfId="23593" xr:uid="{00000000-0005-0000-0000-0000295C0000}"/>
    <cellStyle name="Normal 279 6 2 2" xfId="23594" xr:uid="{00000000-0005-0000-0000-00002A5C0000}"/>
    <cellStyle name="Normal 279 6 3" xfId="23595" xr:uid="{00000000-0005-0000-0000-00002B5C0000}"/>
    <cellStyle name="Normal 279 7" xfId="23596" xr:uid="{00000000-0005-0000-0000-00002C5C0000}"/>
    <cellStyle name="Normal 28" xfId="23597" xr:uid="{00000000-0005-0000-0000-00002D5C0000}"/>
    <cellStyle name="Normal 28 2" xfId="23598" xr:uid="{00000000-0005-0000-0000-00002E5C0000}"/>
    <cellStyle name="Normal 28 2 2" xfId="23599" xr:uid="{00000000-0005-0000-0000-00002F5C0000}"/>
    <cellStyle name="Normal 28 2 2 2" xfId="23600" xr:uid="{00000000-0005-0000-0000-0000305C0000}"/>
    <cellStyle name="Normal 28 2 2 2 2" xfId="23601" xr:uid="{00000000-0005-0000-0000-0000315C0000}"/>
    <cellStyle name="Normal 28 2 2 3" xfId="23602" xr:uid="{00000000-0005-0000-0000-0000325C0000}"/>
    <cellStyle name="Normal 28 2 2 3 2" xfId="23603" xr:uid="{00000000-0005-0000-0000-0000335C0000}"/>
    <cellStyle name="Normal 28 2 2 3 2 2" xfId="23604" xr:uid="{00000000-0005-0000-0000-0000345C0000}"/>
    <cellStyle name="Normal 28 2 2 3 3" xfId="23605" xr:uid="{00000000-0005-0000-0000-0000355C0000}"/>
    <cellStyle name="Normal 28 2 2 4" xfId="23606" xr:uid="{00000000-0005-0000-0000-0000365C0000}"/>
    <cellStyle name="Normal 28 2 2 4 2" xfId="23607" xr:uid="{00000000-0005-0000-0000-0000375C0000}"/>
    <cellStyle name="Normal 28 2 2 4 2 2" xfId="23608" xr:uid="{00000000-0005-0000-0000-0000385C0000}"/>
    <cellStyle name="Normal 28 2 2 4 3" xfId="23609" xr:uid="{00000000-0005-0000-0000-0000395C0000}"/>
    <cellStyle name="Normal 28 2 2 5" xfId="23610" xr:uid="{00000000-0005-0000-0000-00003A5C0000}"/>
    <cellStyle name="Normal 28 2 3" xfId="23611" xr:uid="{00000000-0005-0000-0000-00003B5C0000}"/>
    <cellStyle name="Normal 28 2 3 2" xfId="23612" xr:uid="{00000000-0005-0000-0000-00003C5C0000}"/>
    <cellStyle name="Normal 28 2 3 2 2" xfId="23613" xr:uid="{00000000-0005-0000-0000-00003D5C0000}"/>
    <cellStyle name="Normal 28 2 3 3" xfId="23614" xr:uid="{00000000-0005-0000-0000-00003E5C0000}"/>
    <cellStyle name="Normal 28 2 4" xfId="23615" xr:uid="{00000000-0005-0000-0000-00003F5C0000}"/>
    <cellStyle name="Normal 28 2 4 2" xfId="23616" xr:uid="{00000000-0005-0000-0000-0000405C0000}"/>
    <cellStyle name="Normal 28 2 4 2 2" xfId="23617" xr:uid="{00000000-0005-0000-0000-0000415C0000}"/>
    <cellStyle name="Normal 28 2 4 3" xfId="23618" xr:uid="{00000000-0005-0000-0000-0000425C0000}"/>
    <cellStyle name="Normal 28 2 5" xfId="23619" xr:uid="{00000000-0005-0000-0000-0000435C0000}"/>
    <cellStyle name="Normal 28 2 5 2" xfId="23620" xr:uid="{00000000-0005-0000-0000-0000445C0000}"/>
    <cellStyle name="Normal 28 2 5 2 2" xfId="23621" xr:uid="{00000000-0005-0000-0000-0000455C0000}"/>
    <cellStyle name="Normal 28 2 5 3" xfId="23622" xr:uid="{00000000-0005-0000-0000-0000465C0000}"/>
    <cellStyle name="Normal 28 2 6" xfId="23623" xr:uid="{00000000-0005-0000-0000-0000475C0000}"/>
    <cellStyle name="Normal 28 3" xfId="23624" xr:uid="{00000000-0005-0000-0000-0000485C0000}"/>
    <cellStyle name="Normal 28 3 2" xfId="23625" xr:uid="{00000000-0005-0000-0000-0000495C0000}"/>
    <cellStyle name="Normal 28 3 2 2" xfId="23626" xr:uid="{00000000-0005-0000-0000-00004A5C0000}"/>
    <cellStyle name="Normal 28 3 3" xfId="23627" xr:uid="{00000000-0005-0000-0000-00004B5C0000}"/>
    <cellStyle name="Normal 28 3 3 2" xfId="23628" xr:uid="{00000000-0005-0000-0000-00004C5C0000}"/>
    <cellStyle name="Normal 28 3 3 2 2" xfId="23629" xr:uid="{00000000-0005-0000-0000-00004D5C0000}"/>
    <cellStyle name="Normal 28 3 3 3" xfId="23630" xr:uid="{00000000-0005-0000-0000-00004E5C0000}"/>
    <cellStyle name="Normal 28 3 4" xfId="23631" xr:uid="{00000000-0005-0000-0000-00004F5C0000}"/>
    <cellStyle name="Normal 28 3 4 2" xfId="23632" xr:uid="{00000000-0005-0000-0000-0000505C0000}"/>
    <cellStyle name="Normal 28 3 4 2 2" xfId="23633" xr:uid="{00000000-0005-0000-0000-0000515C0000}"/>
    <cellStyle name="Normal 28 3 4 3" xfId="23634" xr:uid="{00000000-0005-0000-0000-0000525C0000}"/>
    <cellStyle name="Normal 28 3 5" xfId="23635" xr:uid="{00000000-0005-0000-0000-0000535C0000}"/>
    <cellStyle name="Normal 28 4" xfId="23636" xr:uid="{00000000-0005-0000-0000-0000545C0000}"/>
    <cellStyle name="Normal 28 4 2" xfId="23637" xr:uid="{00000000-0005-0000-0000-0000555C0000}"/>
    <cellStyle name="Normal 28 4 2 2" xfId="23638" xr:uid="{00000000-0005-0000-0000-0000565C0000}"/>
    <cellStyle name="Normal 28 4 3" xfId="23639" xr:uid="{00000000-0005-0000-0000-0000575C0000}"/>
    <cellStyle name="Normal 28 4 3 2" xfId="23640" xr:uid="{00000000-0005-0000-0000-0000585C0000}"/>
    <cellStyle name="Normal 28 4 3 2 2" xfId="23641" xr:uid="{00000000-0005-0000-0000-0000595C0000}"/>
    <cellStyle name="Normal 28 4 3 3" xfId="23642" xr:uid="{00000000-0005-0000-0000-00005A5C0000}"/>
    <cellStyle name="Normal 28 4 4" xfId="23643" xr:uid="{00000000-0005-0000-0000-00005B5C0000}"/>
    <cellStyle name="Normal 28 4 4 2" xfId="23644" xr:uid="{00000000-0005-0000-0000-00005C5C0000}"/>
    <cellStyle name="Normal 28 4 4 2 2" xfId="23645" xr:uid="{00000000-0005-0000-0000-00005D5C0000}"/>
    <cellStyle name="Normal 28 4 4 3" xfId="23646" xr:uid="{00000000-0005-0000-0000-00005E5C0000}"/>
    <cellStyle name="Normal 28 4 5" xfId="23647" xr:uid="{00000000-0005-0000-0000-00005F5C0000}"/>
    <cellStyle name="Normal 28 5" xfId="23648" xr:uid="{00000000-0005-0000-0000-0000605C0000}"/>
    <cellStyle name="Normal 28 5 2" xfId="23649" xr:uid="{00000000-0005-0000-0000-0000615C0000}"/>
    <cellStyle name="Normal 28 5 2 2" xfId="23650" xr:uid="{00000000-0005-0000-0000-0000625C0000}"/>
    <cellStyle name="Normal 28 5 3" xfId="23651" xr:uid="{00000000-0005-0000-0000-0000635C0000}"/>
    <cellStyle name="Normal 28 6" xfId="23652" xr:uid="{00000000-0005-0000-0000-0000645C0000}"/>
    <cellStyle name="Normal 28 6 2" xfId="23653" xr:uid="{00000000-0005-0000-0000-0000655C0000}"/>
    <cellStyle name="Normal 28 6 2 2" xfId="23654" xr:uid="{00000000-0005-0000-0000-0000665C0000}"/>
    <cellStyle name="Normal 28 6 3" xfId="23655" xr:uid="{00000000-0005-0000-0000-0000675C0000}"/>
    <cellStyle name="Normal 28 7" xfId="23656" xr:uid="{00000000-0005-0000-0000-0000685C0000}"/>
    <cellStyle name="Normal 28 7 2" xfId="23657" xr:uid="{00000000-0005-0000-0000-0000695C0000}"/>
    <cellStyle name="Normal 28 7 2 2" xfId="23658" xr:uid="{00000000-0005-0000-0000-00006A5C0000}"/>
    <cellStyle name="Normal 28 7 3" xfId="23659" xr:uid="{00000000-0005-0000-0000-00006B5C0000}"/>
    <cellStyle name="Normal 28 8" xfId="23660" xr:uid="{00000000-0005-0000-0000-00006C5C0000}"/>
    <cellStyle name="Normal 280" xfId="23661" xr:uid="{00000000-0005-0000-0000-00006D5C0000}"/>
    <cellStyle name="Normal 280 2" xfId="23662" xr:uid="{00000000-0005-0000-0000-00006E5C0000}"/>
    <cellStyle name="Normal 280 2 2" xfId="23663" xr:uid="{00000000-0005-0000-0000-00006F5C0000}"/>
    <cellStyle name="Normal 280 2 2 2" xfId="23664" xr:uid="{00000000-0005-0000-0000-0000705C0000}"/>
    <cellStyle name="Normal 280 2 3" xfId="23665" xr:uid="{00000000-0005-0000-0000-0000715C0000}"/>
    <cellStyle name="Normal 280 2 3 2" xfId="23666" xr:uid="{00000000-0005-0000-0000-0000725C0000}"/>
    <cellStyle name="Normal 280 2 3 2 2" xfId="23667" xr:uid="{00000000-0005-0000-0000-0000735C0000}"/>
    <cellStyle name="Normal 280 2 3 3" xfId="23668" xr:uid="{00000000-0005-0000-0000-0000745C0000}"/>
    <cellStyle name="Normal 280 2 4" xfId="23669" xr:uid="{00000000-0005-0000-0000-0000755C0000}"/>
    <cellStyle name="Normal 280 2 4 2" xfId="23670" xr:uid="{00000000-0005-0000-0000-0000765C0000}"/>
    <cellStyle name="Normal 280 2 4 2 2" xfId="23671" xr:uid="{00000000-0005-0000-0000-0000775C0000}"/>
    <cellStyle name="Normal 280 2 4 3" xfId="23672" xr:uid="{00000000-0005-0000-0000-0000785C0000}"/>
    <cellStyle name="Normal 280 2 5" xfId="23673" xr:uid="{00000000-0005-0000-0000-0000795C0000}"/>
    <cellStyle name="Normal 280 3" xfId="23674" xr:uid="{00000000-0005-0000-0000-00007A5C0000}"/>
    <cellStyle name="Normal 280 3 2" xfId="23675" xr:uid="{00000000-0005-0000-0000-00007B5C0000}"/>
    <cellStyle name="Normal 280 3 2 2" xfId="23676" xr:uid="{00000000-0005-0000-0000-00007C5C0000}"/>
    <cellStyle name="Normal 280 3 2 2 2" xfId="23677" xr:uid="{00000000-0005-0000-0000-00007D5C0000}"/>
    <cellStyle name="Normal 280 3 2 3" xfId="23678" xr:uid="{00000000-0005-0000-0000-00007E5C0000}"/>
    <cellStyle name="Normal 280 3 2 3 2" xfId="23679" xr:uid="{00000000-0005-0000-0000-00007F5C0000}"/>
    <cellStyle name="Normal 280 3 2 3 2 2" xfId="23680" xr:uid="{00000000-0005-0000-0000-0000805C0000}"/>
    <cellStyle name="Normal 280 3 2 3 3" xfId="23681" xr:uid="{00000000-0005-0000-0000-0000815C0000}"/>
    <cellStyle name="Normal 280 3 2 4" xfId="23682" xr:uid="{00000000-0005-0000-0000-0000825C0000}"/>
    <cellStyle name="Normal 280 3 3" xfId="23683" xr:uid="{00000000-0005-0000-0000-0000835C0000}"/>
    <cellStyle name="Normal 280 3 3 2" xfId="23684" xr:uid="{00000000-0005-0000-0000-0000845C0000}"/>
    <cellStyle name="Normal 280 3 3 2 2" xfId="23685" xr:uid="{00000000-0005-0000-0000-0000855C0000}"/>
    <cellStyle name="Normal 280 3 3 3" xfId="23686" xr:uid="{00000000-0005-0000-0000-0000865C0000}"/>
    <cellStyle name="Normal 280 3 4" xfId="23687" xr:uid="{00000000-0005-0000-0000-0000875C0000}"/>
    <cellStyle name="Normal 280 3 4 2" xfId="23688" xr:uid="{00000000-0005-0000-0000-0000885C0000}"/>
    <cellStyle name="Normal 280 3 4 2 2" xfId="23689" xr:uid="{00000000-0005-0000-0000-0000895C0000}"/>
    <cellStyle name="Normal 280 3 4 3" xfId="23690" xr:uid="{00000000-0005-0000-0000-00008A5C0000}"/>
    <cellStyle name="Normal 280 3 5" xfId="23691" xr:uid="{00000000-0005-0000-0000-00008B5C0000}"/>
    <cellStyle name="Normal 280 3 5 2" xfId="23692" xr:uid="{00000000-0005-0000-0000-00008C5C0000}"/>
    <cellStyle name="Normal 280 3 5 2 2" xfId="23693" xr:uid="{00000000-0005-0000-0000-00008D5C0000}"/>
    <cellStyle name="Normal 280 3 5 3" xfId="23694" xr:uid="{00000000-0005-0000-0000-00008E5C0000}"/>
    <cellStyle name="Normal 280 3 6" xfId="23695" xr:uid="{00000000-0005-0000-0000-00008F5C0000}"/>
    <cellStyle name="Normal 280 4" xfId="23696" xr:uid="{00000000-0005-0000-0000-0000905C0000}"/>
    <cellStyle name="Normal 280 4 2" xfId="23697" xr:uid="{00000000-0005-0000-0000-0000915C0000}"/>
    <cellStyle name="Normal 280 4 2 2" xfId="23698" xr:uid="{00000000-0005-0000-0000-0000925C0000}"/>
    <cellStyle name="Normal 280 4 3" xfId="23699" xr:uid="{00000000-0005-0000-0000-0000935C0000}"/>
    <cellStyle name="Normal 280 5" xfId="23700" xr:uid="{00000000-0005-0000-0000-0000945C0000}"/>
    <cellStyle name="Normal 280 5 2" xfId="23701" xr:uid="{00000000-0005-0000-0000-0000955C0000}"/>
    <cellStyle name="Normal 280 5 2 2" xfId="23702" xr:uid="{00000000-0005-0000-0000-0000965C0000}"/>
    <cellStyle name="Normal 280 5 3" xfId="23703" xr:uid="{00000000-0005-0000-0000-0000975C0000}"/>
    <cellStyle name="Normal 280 6" xfId="23704" xr:uid="{00000000-0005-0000-0000-0000985C0000}"/>
    <cellStyle name="Normal 280 6 2" xfId="23705" xr:uid="{00000000-0005-0000-0000-0000995C0000}"/>
    <cellStyle name="Normal 280 6 2 2" xfId="23706" xr:uid="{00000000-0005-0000-0000-00009A5C0000}"/>
    <cellStyle name="Normal 280 6 3" xfId="23707" xr:uid="{00000000-0005-0000-0000-00009B5C0000}"/>
    <cellStyle name="Normal 280 7" xfId="23708" xr:uid="{00000000-0005-0000-0000-00009C5C0000}"/>
    <cellStyle name="Normal 281" xfId="23709" xr:uid="{00000000-0005-0000-0000-00009D5C0000}"/>
    <cellStyle name="Normal 281 2" xfId="23710" xr:uid="{00000000-0005-0000-0000-00009E5C0000}"/>
    <cellStyle name="Normal 281 2 2" xfId="23711" xr:uid="{00000000-0005-0000-0000-00009F5C0000}"/>
    <cellStyle name="Normal 281 2 2 2" xfId="23712" xr:uid="{00000000-0005-0000-0000-0000A05C0000}"/>
    <cellStyle name="Normal 281 2 3" xfId="23713" xr:uid="{00000000-0005-0000-0000-0000A15C0000}"/>
    <cellStyle name="Normal 281 2 3 2" xfId="23714" xr:uid="{00000000-0005-0000-0000-0000A25C0000}"/>
    <cellStyle name="Normal 281 2 3 2 2" xfId="23715" xr:uid="{00000000-0005-0000-0000-0000A35C0000}"/>
    <cellStyle name="Normal 281 2 3 3" xfId="23716" xr:uid="{00000000-0005-0000-0000-0000A45C0000}"/>
    <cellStyle name="Normal 281 2 4" xfId="23717" xr:uid="{00000000-0005-0000-0000-0000A55C0000}"/>
    <cellStyle name="Normal 281 2 4 2" xfId="23718" xr:uid="{00000000-0005-0000-0000-0000A65C0000}"/>
    <cellStyle name="Normal 281 2 4 2 2" xfId="23719" xr:uid="{00000000-0005-0000-0000-0000A75C0000}"/>
    <cellStyle name="Normal 281 2 4 3" xfId="23720" xr:uid="{00000000-0005-0000-0000-0000A85C0000}"/>
    <cellStyle name="Normal 281 2 5" xfId="23721" xr:uid="{00000000-0005-0000-0000-0000A95C0000}"/>
    <cellStyle name="Normal 281 3" xfId="23722" xr:uid="{00000000-0005-0000-0000-0000AA5C0000}"/>
    <cellStyle name="Normal 281 3 2" xfId="23723" xr:uid="{00000000-0005-0000-0000-0000AB5C0000}"/>
    <cellStyle name="Normal 281 3 2 2" xfId="23724" xr:uid="{00000000-0005-0000-0000-0000AC5C0000}"/>
    <cellStyle name="Normal 281 3 2 2 2" xfId="23725" xr:uid="{00000000-0005-0000-0000-0000AD5C0000}"/>
    <cellStyle name="Normal 281 3 2 3" xfId="23726" xr:uid="{00000000-0005-0000-0000-0000AE5C0000}"/>
    <cellStyle name="Normal 281 3 2 3 2" xfId="23727" xr:uid="{00000000-0005-0000-0000-0000AF5C0000}"/>
    <cellStyle name="Normal 281 3 2 3 2 2" xfId="23728" xr:uid="{00000000-0005-0000-0000-0000B05C0000}"/>
    <cellStyle name="Normal 281 3 2 3 3" xfId="23729" xr:uid="{00000000-0005-0000-0000-0000B15C0000}"/>
    <cellStyle name="Normal 281 3 2 4" xfId="23730" xr:uid="{00000000-0005-0000-0000-0000B25C0000}"/>
    <cellStyle name="Normal 281 3 3" xfId="23731" xr:uid="{00000000-0005-0000-0000-0000B35C0000}"/>
    <cellStyle name="Normal 281 3 3 2" xfId="23732" xr:uid="{00000000-0005-0000-0000-0000B45C0000}"/>
    <cellStyle name="Normal 281 3 3 2 2" xfId="23733" xr:uid="{00000000-0005-0000-0000-0000B55C0000}"/>
    <cellStyle name="Normal 281 3 3 3" xfId="23734" xr:uid="{00000000-0005-0000-0000-0000B65C0000}"/>
    <cellStyle name="Normal 281 3 4" xfId="23735" xr:uid="{00000000-0005-0000-0000-0000B75C0000}"/>
    <cellStyle name="Normal 281 3 4 2" xfId="23736" xr:uid="{00000000-0005-0000-0000-0000B85C0000}"/>
    <cellStyle name="Normal 281 3 4 2 2" xfId="23737" xr:uid="{00000000-0005-0000-0000-0000B95C0000}"/>
    <cellStyle name="Normal 281 3 4 3" xfId="23738" xr:uid="{00000000-0005-0000-0000-0000BA5C0000}"/>
    <cellStyle name="Normal 281 3 5" xfId="23739" xr:uid="{00000000-0005-0000-0000-0000BB5C0000}"/>
    <cellStyle name="Normal 281 3 5 2" xfId="23740" xr:uid="{00000000-0005-0000-0000-0000BC5C0000}"/>
    <cellStyle name="Normal 281 3 5 2 2" xfId="23741" xr:uid="{00000000-0005-0000-0000-0000BD5C0000}"/>
    <cellStyle name="Normal 281 3 5 3" xfId="23742" xr:uid="{00000000-0005-0000-0000-0000BE5C0000}"/>
    <cellStyle name="Normal 281 3 6" xfId="23743" xr:uid="{00000000-0005-0000-0000-0000BF5C0000}"/>
    <cellStyle name="Normal 281 4" xfId="23744" xr:uid="{00000000-0005-0000-0000-0000C05C0000}"/>
    <cellStyle name="Normal 281 4 2" xfId="23745" xr:uid="{00000000-0005-0000-0000-0000C15C0000}"/>
    <cellStyle name="Normal 281 4 2 2" xfId="23746" xr:uid="{00000000-0005-0000-0000-0000C25C0000}"/>
    <cellStyle name="Normal 281 4 3" xfId="23747" xr:uid="{00000000-0005-0000-0000-0000C35C0000}"/>
    <cellStyle name="Normal 281 5" xfId="23748" xr:uid="{00000000-0005-0000-0000-0000C45C0000}"/>
    <cellStyle name="Normal 281 5 2" xfId="23749" xr:uid="{00000000-0005-0000-0000-0000C55C0000}"/>
    <cellStyle name="Normal 281 5 2 2" xfId="23750" xr:uid="{00000000-0005-0000-0000-0000C65C0000}"/>
    <cellStyle name="Normal 281 5 3" xfId="23751" xr:uid="{00000000-0005-0000-0000-0000C75C0000}"/>
    <cellStyle name="Normal 281 6" xfId="23752" xr:uid="{00000000-0005-0000-0000-0000C85C0000}"/>
    <cellStyle name="Normal 281 6 2" xfId="23753" xr:uid="{00000000-0005-0000-0000-0000C95C0000}"/>
    <cellStyle name="Normal 281 6 2 2" xfId="23754" xr:uid="{00000000-0005-0000-0000-0000CA5C0000}"/>
    <cellStyle name="Normal 281 6 3" xfId="23755" xr:uid="{00000000-0005-0000-0000-0000CB5C0000}"/>
    <cellStyle name="Normal 281 7" xfId="23756" xr:uid="{00000000-0005-0000-0000-0000CC5C0000}"/>
    <cellStyle name="Normal 282" xfId="23757" xr:uid="{00000000-0005-0000-0000-0000CD5C0000}"/>
    <cellStyle name="Normal 282 2" xfId="23758" xr:uid="{00000000-0005-0000-0000-0000CE5C0000}"/>
    <cellStyle name="Normal 282 2 2" xfId="23759" xr:uid="{00000000-0005-0000-0000-0000CF5C0000}"/>
    <cellStyle name="Normal 282 2 2 2" xfId="23760" xr:uid="{00000000-0005-0000-0000-0000D05C0000}"/>
    <cellStyle name="Normal 282 2 3" xfId="23761" xr:uid="{00000000-0005-0000-0000-0000D15C0000}"/>
    <cellStyle name="Normal 282 2 3 2" xfId="23762" xr:uid="{00000000-0005-0000-0000-0000D25C0000}"/>
    <cellStyle name="Normal 282 2 3 2 2" xfId="23763" xr:uid="{00000000-0005-0000-0000-0000D35C0000}"/>
    <cellStyle name="Normal 282 2 3 3" xfId="23764" xr:uid="{00000000-0005-0000-0000-0000D45C0000}"/>
    <cellStyle name="Normal 282 2 4" xfId="23765" xr:uid="{00000000-0005-0000-0000-0000D55C0000}"/>
    <cellStyle name="Normal 282 2 4 2" xfId="23766" xr:uid="{00000000-0005-0000-0000-0000D65C0000}"/>
    <cellStyle name="Normal 282 2 4 2 2" xfId="23767" xr:uid="{00000000-0005-0000-0000-0000D75C0000}"/>
    <cellStyle name="Normal 282 2 4 3" xfId="23768" xr:uid="{00000000-0005-0000-0000-0000D85C0000}"/>
    <cellStyle name="Normal 282 2 5" xfId="23769" xr:uid="{00000000-0005-0000-0000-0000D95C0000}"/>
    <cellStyle name="Normal 282 3" xfId="23770" xr:uid="{00000000-0005-0000-0000-0000DA5C0000}"/>
    <cellStyle name="Normal 282 3 2" xfId="23771" xr:uid="{00000000-0005-0000-0000-0000DB5C0000}"/>
    <cellStyle name="Normal 282 3 2 2" xfId="23772" xr:uid="{00000000-0005-0000-0000-0000DC5C0000}"/>
    <cellStyle name="Normal 282 3 2 2 2" xfId="23773" xr:uid="{00000000-0005-0000-0000-0000DD5C0000}"/>
    <cellStyle name="Normal 282 3 2 3" xfId="23774" xr:uid="{00000000-0005-0000-0000-0000DE5C0000}"/>
    <cellStyle name="Normal 282 3 2 3 2" xfId="23775" xr:uid="{00000000-0005-0000-0000-0000DF5C0000}"/>
    <cellStyle name="Normal 282 3 2 3 2 2" xfId="23776" xr:uid="{00000000-0005-0000-0000-0000E05C0000}"/>
    <cellStyle name="Normal 282 3 2 3 3" xfId="23777" xr:uid="{00000000-0005-0000-0000-0000E15C0000}"/>
    <cellStyle name="Normal 282 3 2 4" xfId="23778" xr:uid="{00000000-0005-0000-0000-0000E25C0000}"/>
    <cellStyle name="Normal 282 3 3" xfId="23779" xr:uid="{00000000-0005-0000-0000-0000E35C0000}"/>
    <cellStyle name="Normal 282 3 3 2" xfId="23780" xr:uid="{00000000-0005-0000-0000-0000E45C0000}"/>
    <cellStyle name="Normal 282 3 3 2 2" xfId="23781" xr:uid="{00000000-0005-0000-0000-0000E55C0000}"/>
    <cellStyle name="Normal 282 3 3 3" xfId="23782" xr:uid="{00000000-0005-0000-0000-0000E65C0000}"/>
    <cellStyle name="Normal 282 3 4" xfId="23783" xr:uid="{00000000-0005-0000-0000-0000E75C0000}"/>
    <cellStyle name="Normal 282 3 4 2" xfId="23784" xr:uid="{00000000-0005-0000-0000-0000E85C0000}"/>
    <cellStyle name="Normal 282 3 4 2 2" xfId="23785" xr:uid="{00000000-0005-0000-0000-0000E95C0000}"/>
    <cellStyle name="Normal 282 3 4 3" xfId="23786" xr:uid="{00000000-0005-0000-0000-0000EA5C0000}"/>
    <cellStyle name="Normal 282 3 5" xfId="23787" xr:uid="{00000000-0005-0000-0000-0000EB5C0000}"/>
    <cellStyle name="Normal 282 3 5 2" xfId="23788" xr:uid="{00000000-0005-0000-0000-0000EC5C0000}"/>
    <cellStyle name="Normal 282 3 5 2 2" xfId="23789" xr:uid="{00000000-0005-0000-0000-0000ED5C0000}"/>
    <cellStyle name="Normal 282 3 5 3" xfId="23790" xr:uid="{00000000-0005-0000-0000-0000EE5C0000}"/>
    <cellStyle name="Normal 282 3 6" xfId="23791" xr:uid="{00000000-0005-0000-0000-0000EF5C0000}"/>
    <cellStyle name="Normal 282 4" xfId="23792" xr:uid="{00000000-0005-0000-0000-0000F05C0000}"/>
    <cellStyle name="Normal 282 4 2" xfId="23793" xr:uid="{00000000-0005-0000-0000-0000F15C0000}"/>
    <cellStyle name="Normal 282 4 2 2" xfId="23794" xr:uid="{00000000-0005-0000-0000-0000F25C0000}"/>
    <cellStyle name="Normal 282 4 3" xfId="23795" xr:uid="{00000000-0005-0000-0000-0000F35C0000}"/>
    <cellStyle name="Normal 282 5" xfId="23796" xr:uid="{00000000-0005-0000-0000-0000F45C0000}"/>
    <cellStyle name="Normal 282 5 2" xfId="23797" xr:uid="{00000000-0005-0000-0000-0000F55C0000}"/>
    <cellStyle name="Normal 282 5 2 2" xfId="23798" xr:uid="{00000000-0005-0000-0000-0000F65C0000}"/>
    <cellStyle name="Normal 282 5 3" xfId="23799" xr:uid="{00000000-0005-0000-0000-0000F75C0000}"/>
    <cellStyle name="Normal 282 6" xfId="23800" xr:uid="{00000000-0005-0000-0000-0000F85C0000}"/>
    <cellStyle name="Normal 282 6 2" xfId="23801" xr:uid="{00000000-0005-0000-0000-0000F95C0000}"/>
    <cellStyle name="Normal 282 6 2 2" xfId="23802" xr:uid="{00000000-0005-0000-0000-0000FA5C0000}"/>
    <cellStyle name="Normal 282 6 3" xfId="23803" xr:uid="{00000000-0005-0000-0000-0000FB5C0000}"/>
    <cellStyle name="Normal 282 7" xfId="23804" xr:uid="{00000000-0005-0000-0000-0000FC5C0000}"/>
    <cellStyle name="Normal 283" xfId="23805" xr:uid="{00000000-0005-0000-0000-0000FD5C0000}"/>
    <cellStyle name="Normal 283 2" xfId="23806" xr:uid="{00000000-0005-0000-0000-0000FE5C0000}"/>
    <cellStyle name="Normal 283 2 2" xfId="23807" xr:uid="{00000000-0005-0000-0000-0000FF5C0000}"/>
    <cellStyle name="Normal 283 2 2 2" xfId="23808" xr:uid="{00000000-0005-0000-0000-0000005D0000}"/>
    <cellStyle name="Normal 283 2 3" xfId="23809" xr:uid="{00000000-0005-0000-0000-0000015D0000}"/>
    <cellStyle name="Normal 283 2 3 2" xfId="23810" xr:uid="{00000000-0005-0000-0000-0000025D0000}"/>
    <cellStyle name="Normal 283 2 3 2 2" xfId="23811" xr:uid="{00000000-0005-0000-0000-0000035D0000}"/>
    <cellStyle name="Normal 283 2 3 3" xfId="23812" xr:uid="{00000000-0005-0000-0000-0000045D0000}"/>
    <cellStyle name="Normal 283 2 4" xfId="23813" xr:uid="{00000000-0005-0000-0000-0000055D0000}"/>
    <cellStyle name="Normal 283 2 4 2" xfId="23814" xr:uid="{00000000-0005-0000-0000-0000065D0000}"/>
    <cellStyle name="Normal 283 2 4 2 2" xfId="23815" xr:uid="{00000000-0005-0000-0000-0000075D0000}"/>
    <cellStyle name="Normal 283 2 4 3" xfId="23816" xr:uid="{00000000-0005-0000-0000-0000085D0000}"/>
    <cellStyle name="Normal 283 2 5" xfId="23817" xr:uid="{00000000-0005-0000-0000-0000095D0000}"/>
    <cellStyle name="Normal 283 3" xfId="23818" xr:uid="{00000000-0005-0000-0000-00000A5D0000}"/>
    <cellStyle name="Normal 283 3 2" xfId="23819" xr:uid="{00000000-0005-0000-0000-00000B5D0000}"/>
    <cellStyle name="Normal 283 3 2 2" xfId="23820" xr:uid="{00000000-0005-0000-0000-00000C5D0000}"/>
    <cellStyle name="Normal 283 3 2 2 2" xfId="23821" xr:uid="{00000000-0005-0000-0000-00000D5D0000}"/>
    <cellStyle name="Normal 283 3 2 3" xfId="23822" xr:uid="{00000000-0005-0000-0000-00000E5D0000}"/>
    <cellStyle name="Normal 283 3 2 3 2" xfId="23823" xr:uid="{00000000-0005-0000-0000-00000F5D0000}"/>
    <cellStyle name="Normal 283 3 2 3 2 2" xfId="23824" xr:uid="{00000000-0005-0000-0000-0000105D0000}"/>
    <cellStyle name="Normal 283 3 2 3 3" xfId="23825" xr:uid="{00000000-0005-0000-0000-0000115D0000}"/>
    <cellStyle name="Normal 283 3 2 4" xfId="23826" xr:uid="{00000000-0005-0000-0000-0000125D0000}"/>
    <cellStyle name="Normal 283 3 3" xfId="23827" xr:uid="{00000000-0005-0000-0000-0000135D0000}"/>
    <cellStyle name="Normal 283 3 3 2" xfId="23828" xr:uid="{00000000-0005-0000-0000-0000145D0000}"/>
    <cellStyle name="Normal 283 3 3 2 2" xfId="23829" xr:uid="{00000000-0005-0000-0000-0000155D0000}"/>
    <cellStyle name="Normal 283 3 3 3" xfId="23830" xr:uid="{00000000-0005-0000-0000-0000165D0000}"/>
    <cellStyle name="Normal 283 3 4" xfId="23831" xr:uid="{00000000-0005-0000-0000-0000175D0000}"/>
    <cellStyle name="Normal 283 3 4 2" xfId="23832" xr:uid="{00000000-0005-0000-0000-0000185D0000}"/>
    <cellStyle name="Normal 283 3 4 2 2" xfId="23833" xr:uid="{00000000-0005-0000-0000-0000195D0000}"/>
    <cellStyle name="Normal 283 3 4 3" xfId="23834" xr:uid="{00000000-0005-0000-0000-00001A5D0000}"/>
    <cellStyle name="Normal 283 3 5" xfId="23835" xr:uid="{00000000-0005-0000-0000-00001B5D0000}"/>
    <cellStyle name="Normal 283 3 5 2" xfId="23836" xr:uid="{00000000-0005-0000-0000-00001C5D0000}"/>
    <cellStyle name="Normal 283 3 5 2 2" xfId="23837" xr:uid="{00000000-0005-0000-0000-00001D5D0000}"/>
    <cellStyle name="Normal 283 3 5 3" xfId="23838" xr:uid="{00000000-0005-0000-0000-00001E5D0000}"/>
    <cellStyle name="Normal 283 3 6" xfId="23839" xr:uid="{00000000-0005-0000-0000-00001F5D0000}"/>
    <cellStyle name="Normal 283 4" xfId="23840" xr:uid="{00000000-0005-0000-0000-0000205D0000}"/>
    <cellStyle name="Normal 283 4 2" xfId="23841" xr:uid="{00000000-0005-0000-0000-0000215D0000}"/>
    <cellStyle name="Normal 283 4 2 2" xfId="23842" xr:uid="{00000000-0005-0000-0000-0000225D0000}"/>
    <cellStyle name="Normal 283 4 3" xfId="23843" xr:uid="{00000000-0005-0000-0000-0000235D0000}"/>
    <cellStyle name="Normal 283 5" xfId="23844" xr:uid="{00000000-0005-0000-0000-0000245D0000}"/>
    <cellStyle name="Normal 283 5 2" xfId="23845" xr:uid="{00000000-0005-0000-0000-0000255D0000}"/>
    <cellStyle name="Normal 283 5 2 2" xfId="23846" xr:uid="{00000000-0005-0000-0000-0000265D0000}"/>
    <cellStyle name="Normal 283 5 3" xfId="23847" xr:uid="{00000000-0005-0000-0000-0000275D0000}"/>
    <cellStyle name="Normal 283 6" xfId="23848" xr:uid="{00000000-0005-0000-0000-0000285D0000}"/>
    <cellStyle name="Normal 283 6 2" xfId="23849" xr:uid="{00000000-0005-0000-0000-0000295D0000}"/>
    <cellStyle name="Normal 283 6 2 2" xfId="23850" xr:uid="{00000000-0005-0000-0000-00002A5D0000}"/>
    <cellStyle name="Normal 283 6 3" xfId="23851" xr:uid="{00000000-0005-0000-0000-00002B5D0000}"/>
    <cellStyle name="Normal 283 7" xfId="23852" xr:uid="{00000000-0005-0000-0000-00002C5D0000}"/>
    <cellStyle name="Normal 284" xfId="23853" xr:uid="{00000000-0005-0000-0000-00002D5D0000}"/>
    <cellStyle name="Normal 284 2" xfId="23854" xr:uid="{00000000-0005-0000-0000-00002E5D0000}"/>
    <cellStyle name="Normal 284 2 2" xfId="23855" xr:uid="{00000000-0005-0000-0000-00002F5D0000}"/>
    <cellStyle name="Normal 284 2 2 2" xfId="23856" xr:uid="{00000000-0005-0000-0000-0000305D0000}"/>
    <cellStyle name="Normal 284 2 3" xfId="23857" xr:uid="{00000000-0005-0000-0000-0000315D0000}"/>
    <cellStyle name="Normal 284 2 3 2" xfId="23858" xr:uid="{00000000-0005-0000-0000-0000325D0000}"/>
    <cellStyle name="Normal 284 2 3 2 2" xfId="23859" xr:uid="{00000000-0005-0000-0000-0000335D0000}"/>
    <cellStyle name="Normal 284 2 3 3" xfId="23860" xr:uid="{00000000-0005-0000-0000-0000345D0000}"/>
    <cellStyle name="Normal 284 2 4" xfId="23861" xr:uid="{00000000-0005-0000-0000-0000355D0000}"/>
    <cellStyle name="Normal 284 2 4 2" xfId="23862" xr:uid="{00000000-0005-0000-0000-0000365D0000}"/>
    <cellStyle name="Normal 284 2 4 2 2" xfId="23863" xr:uid="{00000000-0005-0000-0000-0000375D0000}"/>
    <cellStyle name="Normal 284 2 4 3" xfId="23864" xr:uid="{00000000-0005-0000-0000-0000385D0000}"/>
    <cellStyle name="Normal 284 2 5" xfId="23865" xr:uid="{00000000-0005-0000-0000-0000395D0000}"/>
    <cellStyle name="Normal 284 3" xfId="23866" xr:uid="{00000000-0005-0000-0000-00003A5D0000}"/>
    <cellStyle name="Normal 284 3 2" xfId="23867" xr:uid="{00000000-0005-0000-0000-00003B5D0000}"/>
    <cellStyle name="Normal 284 3 2 2" xfId="23868" xr:uid="{00000000-0005-0000-0000-00003C5D0000}"/>
    <cellStyle name="Normal 284 3 2 2 2" xfId="23869" xr:uid="{00000000-0005-0000-0000-00003D5D0000}"/>
    <cellStyle name="Normal 284 3 2 3" xfId="23870" xr:uid="{00000000-0005-0000-0000-00003E5D0000}"/>
    <cellStyle name="Normal 284 3 2 3 2" xfId="23871" xr:uid="{00000000-0005-0000-0000-00003F5D0000}"/>
    <cellStyle name="Normal 284 3 2 3 2 2" xfId="23872" xr:uid="{00000000-0005-0000-0000-0000405D0000}"/>
    <cellStyle name="Normal 284 3 2 3 3" xfId="23873" xr:uid="{00000000-0005-0000-0000-0000415D0000}"/>
    <cellStyle name="Normal 284 3 2 4" xfId="23874" xr:uid="{00000000-0005-0000-0000-0000425D0000}"/>
    <cellStyle name="Normal 284 3 3" xfId="23875" xr:uid="{00000000-0005-0000-0000-0000435D0000}"/>
    <cellStyle name="Normal 284 3 3 2" xfId="23876" xr:uid="{00000000-0005-0000-0000-0000445D0000}"/>
    <cellStyle name="Normal 284 3 3 2 2" xfId="23877" xr:uid="{00000000-0005-0000-0000-0000455D0000}"/>
    <cellStyle name="Normal 284 3 3 3" xfId="23878" xr:uid="{00000000-0005-0000-0000-0000465D0000}"/>
    <cellStyle name="Normal 284 3 4" xfId="23879" xr:uid="{00000000-0005-0000-0000-0000475D0000}"/>
    <cellStyle name="Normal 284 3 4 2" xfId="23880" xr:uid="{00000000-0005-0000-0000-0000485D0000}"/>
    <cellStyle name="Normal 284 3 4 2 2" xfId="23881" xr:uid="{00000000-0005-0000-0000-0000495D0000}"/>
    <cellStyle name="Normal 284 3 4 3" xfId="23882" xr:uid="{00000000-0005-0000-0000-00004A5D0000}"/>
    <cellStyle name="Normal 284 3 5" xfId="23883" xr:uid="{00000000-0005-0000-0000-00004B5D0000}"/>
    <cellStyle name="Normal 284 3 5 2" xfId="23884" xr:uid="{00000000-0005-0000-0000-00004C5D0000}"/>
    <cellStyle name="Normal 284 3 5 2 2" xfId="23885" xr:uid="{00000000-0005-0000-0000-00004D5D0000}"/>
    <cellStyle name="Normal 284 3 5 3" xfId="23886" xr:uid="{00000000-0005-0000-0000-00004E5D0000}"/>
    <cellStyle name="Normal 284 3 6" xfId="23887" xr:uid="{00000000-0005-0000-0000-00004F5D0000}"/>
    <cellStyle name="Normal 284 4" xfId="23888" xr:uid="{00000000-0005-0000-0000-0000505D0000}"/>
    <cellStyle name="Normal 284 4 2" xfId="23889" xr:uid="{00000000-0005-0000-0000-0000515D0000}"/>
    <cellStyle name="Normal 284 4 2 2" xfId="23890" xr:uid="{00000000-0005-0000-0000-0000525D0000}"/>
    <cellStyle name="Normal 284 4 3" xfId="23891" xr:uid="{00000000-0005-0000-0000-0000535D0000}"/>
    <cellStyle name="Normal 284 5" xfId="23892" xr:uid="{00000000-0005-0000-0000-0000545D0000}"/>
    <cellStyle name="Normal 284 5 2" xfId="23893" xr:uid="{00000000-0005-0000-0000-0000555D0000}"/>
    <cellStyle name="Normal 284 5 2 2" xfId="23894" xr:uid="{00000000-0005-0000-0000-0000565D0000}"/>
    <cellStyle name="Normal 284 5 3" xfId="23895" xr:uid="{00000000-0005-0000-0000-0000575D0000}"/>
    <cellStyle name="Normal 284 6" xfId="23896" xr:uid="{00000000-0005-0000-0000-0000585D0000}"/>
    <cellStyle name="Normal 284 6 2" xfId="23897" xr:uid="{00000000-0005-0000-0000-0000595D0000}"/>
    <cellStyle name="Normal 284 6 2 2" xfId="23898" xr:uid="{00000000-0005-0000-0000-00005A5D0000}"/>
    <cellStyle name="Normal 284 6 3" xfId="23899" xr:uid="{00000000-0005-0000-0000-00005B5D0000}"/>
    <cellStyle name="Normal 284 7" xfId="23900" xr:uid="{00000000-0005-0000-0000-00005C5D0000}"/>
    <cellStyle name="Normal 285" xfId="23901" xr:uid="{00000000-0005-0000-0000-00005D5D0000}"/>
    <cellStyle name="Normal 285 2" xfId="23902" xr:uid="{00000000-0005-0000-0000-00005E5D0000}"/>
    <cellStyle name="Normal 285 2 2" xfId="23903" xr:uid="{00000000-0005-0000-0000-00005F5D0000}"/>
    <cellStyle name="Normal 285 2 2 2" xfId="23904" xr:uid="{00000000-0005-0000-0000-0000605D0000}"/>
    <cellStyle name="Normal 285 2 3" xfId="23905" xr:uid="{00000000-0005-0000-0000-0000615D0000}"/>
    <cellStyle name="Normal 285 2 3 2" xfId="23906" xr:uid="{00000000-0005-0000-0000-0000625D0000}"/>
    <cellStyle name="Normal 285 2 3 2 2" xfId="23907" xr:uid="{00000000-0005-0000-0000-0000635D0000}"/>
    <cellStyle name="Normal 285 2 3 3" xfId="23908" xr:uid="{00000000-0005-0000-0000-0000645D0000}"/>
    <cellStyle name="Normal 285 2 4" xfId="23909" xr:uid="{00000000-0005-0000-0000-0000655D0000}"/>
    <cellStyle name="Normal 285 2 4 2" xfId="23910" xr:uid="{00000000-0005-0000-0000-0000665D0000}"/>
    <cellStyle name="Normal 285 2 4 2 2" xfId="23911" xr:uid="{00000000-0005-0000-0000-0000675D0000}"/>
    <cellStyle name="Normal 285 2 4 3" xfId="23912" xr:uid="{00000000-0005-0000-0000-0000685D0000}"/>
    <cellStyle name="Normal 285 2 5" xfId="23913" xr:uid="{00000000-0005-0000-0000-0000695D0000}"/>
    <cellStyle name="Normal 285 3" xfId="23914" xr:uid="{00000000-0005-0000-0000-00006A5D0000}"/>
    <cellStyle name="Normal 285 3 2" xfId="23915" xr:uid="{00000000-0005-0000-0000-00006B5D0000}"/>
    <cellStyle name="Normal 285 3 2 2" xfId="23916" xr:uid="{00000000-0005-0000-0000-00006C5D0000}"/>
    <cellStyle name="Normal 285 3 2 2 2" xfId="23917" xr:uid="{00000000-0005-0000-0000-00006D5D0000}"/>
    <cellStyle name="Normal 285 3 2 3" xfId="23918" xr:uid="{00000000-0005-0000-0000-00006E5D0000}"/>
    <cellStyle name="Normal 285 3 2 3 2" xfId="23919" xr:uid="{00000000-0005-0000-0000-00006F5D0000}"/>
    <cellStyle name="Normal 285 3 2 3 2 2" xfId="23920" xr:uid="{00000000-0005-0000-0000-0000705D0000}"/>
    <cellStyle name="Normal 285 3 2 3 3" xfId="23921" xr:uid="{00000000-0005-0000-0000-0000715D0000}"/>
    <cellStyle name="Normal 285 3 2 4" xfId="23922" xr:uid="{00000000-0005-0000-0000-0000725D0000}"/>
    <cellStyle name="Normal 285 3 3" xfId="23923" xr:uid="{00000000-0005-0000-0000-0000735D0000}"/>
    <cellStyle name="Normal 285 3 3 2" xfId="23924" xr:uid="{00000000-0005-0000-0000-0000745D0000}"/>
    <cellStyle name="Normal 285 3 3 2 2" xfId="23925" xr:uid="{00000000-0005-0000-0000-0000755D0000}"/>
    <cellStyle name="Normal 285 3 3 3" xfId="23926" xr:uid="{00000000-0005-0000-0000-0000765D0000}"/>
    <cellStyle name="Normal 285 3 4" xfId="23927" xr:uid="{00000000-0005-0000-0000-0000775D0000}"/>
    <cellStyle name="Normal 285 3 4 2" xfId="23928" xr:uid="{00000000-0005-0000-0000-0000785D0000}"/>
    <cellStyle name="Normal 285 3 4 2 2" xfId="23929" xr:uid="{00000000-0005-0000-0000-0000795D0000}"/>
    <cellStyle name="Normal 285 3 4 3" xfId="23930" xr:uid="{00000000-0005-0000-0000-00007A5D0000}"/>
    <cellStyle name="Normal 285 3 5" xfId="23931" xr:uid="{00000000-0005-0000-0000-00007B5D0000}"/>
    <cellStyle name="Normal 285 3 5 2" xfId="23932" xr:uid="{00000000-0005-0000-0000-00007C5D0000}"/>
    <cellStyle name="Normal 285 3 5 2 2" xfId="23933" xr:uid="{00000000-0005-0000-0000-00007D5D0000}"/>
    <cellStyle name="Normal 285 3 5 3" xfId="23934" xr:uid="{00000000-0005-0000-0000-00007E5D0000}"/>
    <cellStyle name="Normal 285 3 6" xfId="23935" xr:uid="{00000000-0005-0000-0000-00007F5D0000}"/>
    <cellStyle name="Normal 285 4" xfId="23936" xr:uid="{00000000-0005-0000-0000-0000805D0000}"/>
    <cellStyle name="Normal 285 4 2" xfId="23937" xr:uid="{00000000-0005-0000-0000-0000815D0000}"/>
    <cellStyle name="Normal 285 4 2 2" xfId="23938" xr:uid="{00000000-0005-0000-0000-0000825D0000}"/>
    <cellStyle name="Normal 285 4 3" xfId="23939" xr:uid="{00000000-0005-0000-0000-0000835D0000}"/>
    <cellStyle name="Normal 285 5" xfId="23940" xr:uid="{00000000-0005-0000-0000-0000845D0000}"/>
    <cellStyle name="Normal 285 5 2" xfId="23941" xr:uid="{00000000-0005-0000-0000-0000855D0000}"/>
    <cellStyle name="Normal 285 5 2 2" xfId="23942" xr:uid="{00000000-0005-0000-0000-0000865D0000}"/>
    <cellStyle name="Normal 285 5 3" xfId="23943" xr:uid="{00000000-0005-0000-0000-0000875D0000}"/>
    <cellStyle name="Normal 285 6" xfId="23944" xr:uid="{00000000-0005-0000-0000-0000885D0000}"/>
    <cellStyle name="Normal 285 6 2" xfId="23945" xr:uid="{00000000-0005-0000-0000-0000895D0000}"/>
    <cellStyle name="Normal 285 6 2 2" xfId="23946" xr:uid="{00000000-0005-0000-0000-00008A5D0000}"/>
    <cellStyle name="Normal 285 6 3" xfId="23947" xr:uid="{00000000-0005-0000-0000-00008B5D0000}"/>
    <cellStyle name="Normal 285 7" xfId="23948" xr:uid="{00000000-0005-0000-0000-00008C5D0000}"/>
    <cellStyle name="Normal 286" xfId="23949" xr:uid="{00000000-0005-0000-0000-00008D5D0000}"/>
    <cellStyle name="Normal 286 2" xfId="23950" xr:uid="{00000000-0005-0000-0000-00008E5D0000}"/>
    <cellStyle name="Normal 286 2 2" xfId="23951" xr:uid="{00000000-0005-0000-0000-00008F5D0000}"/>
    <cellStyle name="Normal 286 2 2 2" xfId="23952" xr:uid="{00000000-0005-0000-0000-0000905D0000}"/>
    <cellStyle name="Normal 286 2 3" xfId="23953" xr:uid="{00000000-0005-0000-0000-0000915D0000}"/>
    <cellStyle name="Normal 286 2 3 2" xfId="23954" xr:uid="{00000000-0005-0000-0000-0000925D0000}"/>
    <cellStyle name="Normal 286 2 3 2 2" xfId="23955" xr:uid="{00000000-0005-0000-0000-0000935D0000}"/>
    <cellStyle name="Normal 286 2 3 3" xfId="23956" xr:uid="{00000000-0005-0000-0000-0000945D0000}"/>
    <cellStyle name="Normal 286 2 4" xfId="23957" xr:uid="{00000000-0005-0000-0000-0000955D0000}"/>
    <cellStyle name="Normal 286 2 4 2" xfId="23958" xr:uid="{00000000-0005-0000-0000-0000965D0000}"/>
    <cellStyle name="Normal 286 2 4 2 2" xfId="23959" xr:uid="{00000000-0005-0000-0000-0000975D0000}"/>
    <cellStyle name="Normal 286 2 4 3" xfId="23960" xr:uid="{00000000-0005-0000-0000-0000985D0000}"/>
    <cellStyle name="Normal 286 2 5" xfId="23961" xr:uid="{00000000-0005-0000-0000-0000995D0000}"/>
    <cellStyle name="Normal 286 3" xfId="23962" xr:uid="{00000000-0005-0000-0000-00009A5D0000}"/>
    <cellStyle name="Normal 286 3 2" xfId="23963" xr:uid="{00000000-0005-0000-0000-00009B5D0000}"/>
    <cellStyle name="Normal 286 3 2 2" xfId="23964" xr:uid="{00000000-0005-0000-0000-00009C5D0000}"/>
    <cellStyle name="Normal 286 3 2 2 2" xfId="23965" xr:uid="{00000000-0005-0000-0000-00009D5D0000}"/>
    <cellStyle name="Normal 286 3 2 3" xfId="23966" xr:uid="{00000000-0005-0000-0000-00009E5D0000}"/>
    <cellStyle name="Normal 286 3 2 3 2" xfId="23967" xr:uid="{00000000-0005-0000-0000-00009F5D0000}"/>
    <cellStyle name="Normal 286 3 2 3 2 2" xfId="23968" xr:uid="{00000000-0005-0000-0000-0000A05D0000}"/>
    <cellStyle name="Normal 286 3 2 3 3" xfId="23969" xr:uid="{00000000-0005-0000-0000-0000A15D0000}"/>
    <cellStyle name="Normal 286 3 2 4" xfId="23970" xr:uid="{00000000-0005-0000-0000-0000A25D0000}"/>
    <cellStyle name="Normal 286 3 3" xfId="23971" xr:uid="{00000000-0005-0000-0000-0000A35D0000}"/>
    <cellStyle name="Normal 286 3 3 2" xfId="23972" xr:uid="{00000000-0005-0000-0000-0000A45D0000}"/>
    <cellStyle name="Normal 286 3 3 2 2" xfId="23973" xr:uid="{00000000-0005-0000-0000-0000A55D0000}"/>
    <cellStyle name="Normal 286 3 3 3" xfId="23974" xr:uid="{00000000-0005-0000-0000-0000A65D0000}"/>
    <cellStyle name="Normal 286 3 4" xfId="23975" xr:uid="{00000000-0005-0000-0000-0000A75D0000}"/>
    <cellStyle name="Normal 286 3 4 2" xfId="23976" xr:uid="{00000000-0005-0000-0000-0000A85D0000}"/>
    <cellStyle name="Normal 286 3 4 2 2" xfId="23977" xr:uid="{00000000-0005-0000-0000-0000A95D0000}"/>
    <cellStyle name="Normal 286 3 4 3" xfId="23978" xr:uid="{00000000-0005-0000-0000-0000AA5D0000}"/>
    <cellStyle name="Normal 286 3 5" xfId="23979" xr:uid="{00000000-0005-0000-0000-0000AB5D0000}"/>
    <cellStyle name="Normal 286 3 5 2" xfId="23980" xr:uid="{00000000-0005-0000-0000-0000AC5D0000}"/>
    <cellStyle name="Normal 286 3 5 2 2" xfId="23981" xr:uid="{00000000-0005-0000-0000-0000AD5D0000}"/>
    <cellStyle name="Normal 286 3 5 3" xfId="23982" xr:uid="{00000000-0005-0000-0000-0000AE5D0000}"/>
    <cellStyle name="Normal 286 3 6" xfId="23983" xr:uid="{00000000-0005-0000-0000-0000AF5D0000}"/>
    <cellStyle name="Normal 286 4" xfId="23984" xr:uid="{00000000-0005-0000-0000-0000B05D0000}"/>
    <cellStyle name="Normal 286 4 2" xfId="23985" xr:uid="{00000000-0005-0000-0000-0000B15D0000}"/>
    <cellStyle name="Normal 286 4 2 2" xfId="23986" xr:uid="{00000000-0005-0000-0000-0000B25D0000}"/>
    <cellStyle name="Normal 286 4 3" xfId="23987" xr:uid="{00000000-0005-0000-0000-0000B35D0000}"/>
    <cellStyle name="Normal 286 5" xfId="23988" xr:uid="{00000000-0005-0000-0000-0000B45D0000}"/>
    <cellStyle name="Normal 286 5 2" xfId="23989" xr:uid="{00000000-0005-0000-0000-0000B55D0000}"/>
    <cellStyle name="Normal 286 5 2 2" xfId="23990" xr:uid="{00000000-0005-0000-0000-0000B65D0000}"/>
    <cellStyle name="Normal 286 5 3" xfId="23991" xr:uid="{00000000-0005-0000-0000-0000B75D0000}"/>
    <cellStyle name="Normal 286 6" xfId="23992" xr:uid="{00000000-0005-0000-0000-0000B85D0000}"/>
    <cellStyle name="Normal 286 6 2" xfId="23993" xr:uid="{00000000-0005-0000-0000-0000B95D0000}"/>
    <cellStyle name="Normal 286 6 2 2" xfId="23994" xr:uid="{00000000-0005-0000-0000-0000BA5D0000}"/>
    <cellStyle name="Normal 286 6 3" xfId="23995" xr:uid="{00000000-0005-0000-0000-0000BB5D0000}"/>
    <cellStyle name="Normal 286 7" xfId="23996" xr:uid="{00000000-0005-0000-0000-0000BC5D0000}"/>
    <cellStyle name="Normal 287" xfId="23997" xr:uid="{00000000-0005-0000-0000-0000BD5D0000}"/>
    <cellStyle name="Normal 287 2" xfId="23998" xr:uid="{00000000-0005-0000-0000-0000BE5D0000}"/>
    <cellStyle name="Normal 287 2 2" xfId="23999" xr:uid="{00000000-0005-0000-0000-0000BF5D0000}"/>
    <cellStyle name="Normal 287 2 2 2" xfId="24000" xr:uid="{00000000-0005-0000-0000-0000C05D0000}"/>
    <cellStyle name="Normal 287 2 3" xfId="24001" xr:uid="{00000000-0005-0000-0000-0000C15D0000}"/>
    <cellStyle name="Normal 287 2 3 2" xfId="24002" xr:uid="{00000000-0005-0000-0000-0000C25D0000}"/>
    <cellStyle name="Normal 287 2 3 2 2" xfId="24003" xr:uid="{00000000-0005-0000-0000-0000C35D0000}"/>
    <cellStyle name="Normal 287 2 3 3" xfId="24004" xr:uid="{00000000-0005-0000-0000-0000C45D0000}"/>
    <cellStyle name="Normal 287 2 4" xfId="24005" xr:uid="{00000000-0005-0000-0000-0000C55D0000}"/>
    <cellStyle name="Normal 287 2 4 2" xfId="24006" xr:uid="{00000000-0005-0000-0000-0000C65D0000}"/>
    <cellStyle name="Normal 287 2 4 2 2" xfId="24007" xr:uid="{00000000-0005-0000-0000-0000C75D0000}"/>
    <cellStyle name="Normal 287 2 4 3" xfId="24008" xr:uid="{00000000-0005-0000-0000-0000C85D0000}"/>
    <cellStyle name="Normal 287 2 5" xfId="24009" xr:uid="{00000000-0005-0000-0000-0000C95D0000}"/>
    <cellStyle name="Normal 287 3" xfId="24010" xr:uid="{00000000-0005-0000-0000-0000CA5D0000}"/>
    <cellStyle name="Normal 287 3 2" xfId="24011" xr:uid="{00000000-0005-0000-0000-0000CB5D0000}"/>
    <cellStyle name="Normal 287 3 2 2" xfId="24012" xr:uid="{00000000-0005-0000-0000-0000CC5D0000}"/>
    <cellStyle name="Normal 287 3 2 2 2" xfId="24013" xr:uid="{00000000-0005-0000-0000-0000CD5D0000}"/>
    <cellStyle name="Normal 287 3 2 3" xfId="24014" xr:uid="{00000000-0005-0000-0000-0000CE5D0000}"/>
    <cellStyle name="Normal 287 3 2 3 2" xfId="24015" xr:uid="{00000000-0005-0000-0000-0000CF5D0000}"/>
    <cellStyle name="Normal 287 3 2 3 2 2" xfId="24016" xr:uid="{00000000-0005-0000-0000-0000D05D0000}"/>
    <cellStyle name="Normal 287 3 2 3 3" xfId="24017" xr:uid="{00000000-0005-0000-0000-0000D15D0000}"/>
    <cellStyle name="Normal 287 3 2 4" xfId="24018" xr:uid="{00000000-0005-0000-0000-0000D25D0000}"/>
    <cellStyle name="Normal 287 3 3" xfId="24019" xr:uid="{00000000-0005-0000-0000-0000D35D0000}"/>
    <cellStyle name="Normal 287 3 3 2" xfId="24020" xr:uid="{00000000-0005-0000-0000-0000D45D0000}"/>
    <cellStyle name="Normal 287 3 3 2 2" xfId="24021" xr:uid="{00000000-0005-0000-0000-0000D55D0000}"/>
    <cellStyle name="Normal 287 3 3 3" xfId="24022" xr:uid="{00000000-0005-0000-0000-0000D65D0000}"/>
    <cellStyle name="Normal 287 3 4" xfId="24023" xr:uid="{00000000-0005-0000-0000-0000D75D0000}"/>
    <cellStyle name="Normal 287 3 4 2" xfId="24024" xr:uid="{00000000-0005-0000-0000-0000D85D0000}"/>
    <cellStyle name="Normal 287 3 4 2 2" xfId="24025" xr:uid="{00000000-0005-0000-0000-0000D95D0000}"/>
    <cellStyle name="Normal 287 3 4 3" xfId="24026" xr:uid="{00000000-0005-0000-0000-0000DA5D0000}"/>
    <cellStyle name="Normal 287 3 5" xfId="24027" xr:uid="{00000000-0005-0000-0000-0000DB5D0000}"/>
    <cellStyle name="Normal 287 3 5 2" xfId="24028" xr:uid="{00000000-0005-0000-0000-0000DC5D0000}"/>
    <cellStyle name="Normal 287 3 5 2 2" xfId="24029" xr:uid="{00000000-0005-0000-0000-0000DD5D0000}"/>
    <cellStyle name="Normal 287 3 5 3" xfId="24030" xr:uid="{00000000-0005-0000-0000-0000DE5D0000}"/>
    <cellStyle name="Normal 287 3 6" xfId="24031" xr:uid="{00000000-0005-0000-0000-0000DF5D0000}"/>
    <cellStyle name="Normal 287 4" xfId="24032" xr:uid="{00000000-0005-0000-0000-0000E05D0000}"/>
    <cellStyle name="Normal 287 4 2" xfId="24033" xr:uid="{00000000-0005-0000-0000-0000E15D0000}"/>
    <cellStyle name="Normal 287 4 2 2" xfId="24034" xr:uid="{00000000-0005-0000-0000-0000E25D0000}"/>
    <cellStyle name="Normal 287 4 3" xfId="24035" xr:uid="{00000000-0005-0000-0000-0000E35D0000}"/>
    <cellStyle name="Normal 287 5" xfId="24036" xr:uid="{00000000-0005-0000-0000-0000E45D0000}"/>
    <cellStyle name="Normal 287 5 2" xfId="24037" xr:uid="{00000000-0005-0000-0000-0000E55D0000}"/>
    <cellStyle name="Normal 287 5 2 2" xfId="24038" xr:uid="{00000000-0005-0000-0000-0000E65D0000}"/>
    <cellStyle name="Normal 287 5 3" xfId="24039" xr:uid="{00000000-0005-0000-0000-0000E75D0000}"/>
    <cellStyle name="Normal 287 6" xfId="24040" xr:uid="{00000000-0005-0000-0000-0000E85D0000}"/>
    <cellStyle name="Normal 287 6 2" xfId="24041" xr:uid="{00000000-0005-0000-0000-0000E95D0000}"/>
    <cellStyle name="Normal 287 6 2 2" xfId="24042" xr:uid="{00000000-0005-0000-0000-0000EA5D0000}"/>
    <cellStyle name="Normal 287 6 3" xfId="24043" xr:uid="{00000000-0005-0000-0000-0000EB5D0000}"/>
    <cellStyle name="Normal 287 7" xfId="24044" xr:uid="{00000000-0005-0000-0000-0000EC5D0000}"/>
    <cellStyle name="Normal 288" xfId="24045" xr:uid="{00000000-0005-0000-0000-0000ED5D0000}"/>
    <cellStyle name="Normal 288 2" xfId="24046" xr:uid="{00000000-0005-0000-0000-0000EE5D0000}"/>
    <cellStyle name="Normal 288 2 2" xfId="24047" xr:uid="{00000000-0005-0000-0000-0000EF5D0000}"/>
    <cellStyle name="Normal 288 2 2 2" xfId="24048" xr:uid="{00000000-0005-0000-0000-0000F05D0000}"/>
    <cellStyle name="Normal 288 2 3" xfId="24049" xr:uid="{00000000-0005-0000-0000-0000F15D0000}"/>
    <cellStyle name="Normal 288 2 3 2" xfId="24050" xr:uid="{00000000-0005-0000-0000-0000F25D0000}"/>
    <cellStyle name="Normal 288 2 3 2 2" xfId="24051" xr:uid="{00000000-0005-0000-0000-0000F35D0000}"/>
    <cellStyle name="Normal 288 2 3 3" xfId="24052" xr:uid="{00000000-0005-0000-0000-0000F45D0000}"/>
    <cellStyle name="Normal 288 2 4" xfId="24053" xr:uid="{00000000-0005-0000-0000-0000F55D0000}"/>
    <cellStyle name="Normal 288 2 4 2" xfId="24054" xr:uid="{00000000-0005-0000-0000-0000F65D0000}"/>
    <cellStyle name="Normal 288 2 4 2 2" xfId="24055" xr:uid="{00000000-0005-0000-0000-0000F75D0000}"/>
    <cellStyle name="Normal 288 2 4 3" xfId="24056" xr:uid="{00000000-0005-0000-0000-0000F85D0000}"/>
    <cellStyle name="Normal 288 2 5" xfId="24057" xr:uid="{00000000-0005-0000-0000-0000F95D0000}"/>
    <cellStyle name="Normal 288 3" xfId="24058" xr:uid="{00000000-0005-0000-0000-0000FA5D0000}"/>
    <cellStyle name="Normal 288 3 2" xfId="24059" xr:uid="{00000000-0005-0000-0000-0000FB5D0000}"/>
    <cellStyle name="Normal 288 3 2 2" xfId="24060" xr:uid="{00000000-0005-0000-0000-0000FC5D0000}"/>
    <cellStyle name="Normal 288 3 2 2 2" xfId="24061" xr:uid="{00000000-0005-0000-0000-0000FD5D0000}"/>
    <cellStyle name="Normal 288 3 2 3" xfId="24062" xr:uid="{00000000-0005-0000-0000-0000FE5D0000}"/>
    <cellStyle name="Normal 288 3 2 3 2" xfId="24063" xr:uid="{00000000-0005-0000-0000-0000FF5D0000}"/>
    <cellStyle name="Normal 288 3 2 3 2 2" xfId="24064" xr:uid="{00000000-0005-0000-0000-0000005E0000}"/>
    <cellStyle name="Normal 288 3 2 3 3" xfId="24065" xr:uid="{00000000-0005-0000-0000-0000015E0000}"/>
    <cellStyle name="Normal 288 3 2 4" xfId="24066" xr:uid="{00000000-0005-0000-0000-0000025E0000}"/>
    <cellStyle name="Normal 288 3 3" xfId="24067" xr:uid="{00000000-0005-0000-0000-0000035E0000}"/>
    <cellStyle name="Normal 288 3 3 2" xfId="24068" xr:uid="{00000000-0005-0000-0000-0000045E0000}"/>
    <cellStyle name="Normal 288 3 3 2 2" xfId="24069" xr:uid="{00000000-0005-0000-0000-0000055E0000}"/>
    <cellStyle name="Normal 288 3 3 3" xfId="24070" xr:uid="{00000000-0005-0000-0000-0000065E0000}"/>
    <cellStyle name="Normal 288 3 4" xfId="24071" xr:uid="{00000000-0005-0000-0000-0000075E0000}"/>
    <cellStyle name="Normal 288 3 4 2" xfId="24072" xr:uid="{00000000-0005-0000-0000-0000085E0000}"/>
    <cellStyle name="Normal 288 3 4 2 2" xfId="24073" xr:uid="{00000000-0005-0000-0000-0000095E0000}"/>
    <cellStyle name="Normal 288 3 4 3" xfId="24074" xr:uid="{00000000-0005-0000-0000-00000A5E0000}"/>
    <cellStyle name="Normal 288 3 5" xfId="24075" xr:uid="{00000000-0005-0000-0000-00000B5E0000}"/>
    <cellStyle name="Normal 288 3 5 2" xfId="24076" xr:uid="{00000000-0005-0000-0000-00000C5E0000}"/>
    <cellStyle name="Normal 288 3 5 2 2" xfId="24077" xr:uid="{00000000-0005-0000-0000-00000D5E0000}"/>
    <cellStyle name="Normal 288 3 5 3" xfId="24078" xr:uid="{00000000-0005-0000-0000-00000E5E0000}"/>
    <cellStyle name="Normal 288 3 6" xfId="24079" xr:uid="{00000000-0005-0000-0000-00000F5E0000}"/>
    <cellStyle name="Normal 288 4" xfId="24080" xr:uid="{00000000-0005-0000-0000-0000105E0000}"/>
    <cellStyle name="Normal 288 4 2" xfId="24081" xr:uid="{00000000-0005-0000-0000-0000115E0000}"/>
    <cellStyle name="Normal 288 4 2 2" xfId="24082" xr:uid="{00000000-0005-0000-0000-0000125E0000}"/>
    <cellStyle name="Normal 288 4 3" xfId="24083" xr:uid="{00000000-0005-0000-0000-0000135E0000}"/>
    <cellStyle name="Normal 288 5" xfId="24084" xr:uid="{00000000-0005-0000-0000-0000145E0000}"/>
    <cellStyle name="Normal 288 5 2" xfId="24085" xr:uid="{00000000-0005-0000-0000-0000155E0000}"/>
    <cellStyle name="Normal 288 5 2 2" xfId="24086" xr:uid="{00000000-0005-0000-0000-0000165E0000}"/>
    <cellStyle name="Normal 288 5 3" xfId="24087" xr:uid="{00000000-0005-0000-0000-0000175E0000}"/>
    <cellStyle name="Normal 288 6" xfId="24088" xr:uid="{00000000-0005-0000-0000-0000185E0000}"/>
    <cellStyle name="Normal 288 6 2" xfId="24089" xr:uid="{00000000-0005-0000-0000-0000195E0000}"/>
    <cellStyle name="Normal 288 6 2 2" xfId="24090" xr:uid="{00000000-0005-0000-0000-00001A5E0000}"/>
    <cellStyle name="Normal 288 6 3" xfId="24091" xr:uid="{00000000-0005-0000-0000-00001B5E0000}"/>
    <cellStyle name="Normal 288 7" xfId="24092" xr:uid="{00000000-0005-0000-0000-00001C5E0000}"/>
    <cellStyle name="Normal 289" xfId="24093" xr:uid="{00000000-0005-0000-0000-00001D5E0000}"/>
    <cellStyle name="Normal 289 2" xfId="24094" xr:uid="{00000000-0005-0000-0000-00001E5E0000}"/>
    <cellStyle name="Normal 289 2 2" xfId="24095" xr:uid="{00000000-0005-0000-0000-00001F5E0000}"/>
    <cellStyle name="Normal 289 2 2 2" xfId="24096" xr:uid="{00000000-0005-0000-0000-0000205E0000}"/>
    <cellStyle name="Normal 289 2 3" xfId="24097" xr:uid="{00000000-0005-0000-0000-0000215E0000}"/>
    <cellStyle name="Normal 289 2 3 2" xfId="24098" xr:uid="{00000000-0005-0000-0000-0000225E0000}"/>
    <cellStyle name="Normal 289 2 3 2 2" xfId="24099" xr:uid="{00000000-0005-0000-0000-0000235E0000}"/>
    <cellStyle name="Normal 289 2 3 3" xfId="24100" xr:uid="{00000000-0005-0000-0000-0000245E0000}"/>
    <cellStyle name="Normal 289 2 4" xfId="24101" xr:uid="{00000000-0005-0000-0000-0000255E0000}"/>
    <cellStyle name="Normal 289 2 4 2" xfId="24102" xr:uid="{00000000-0005-0000-0000-0000265E0000}"/>
    <cellStyle name="Normal 289 2 4 2 2" xfId="24103" xr:uid="{00000000-0005-0000-0000-0000275E0000}"/>
    <cellStyle name="Normal 289 2 4 3" xfId="24104" xr:uid="{00000000-0005-0000-0000-0000285E0000}"/>
    <cellStyle name="Normal 289 2 5" xfId="24105" xr:uid="{00000000-0005-0000-0000-0000295E0000}"/>
    <cellStyle name="Normal 289 3" xfId="24106" xr:uid="{00000000-0005-0000-0000-00002A5E0000}"/>
    <cellStyle name="Normal 289 3 2" xfId="24107" xr:uid="{00000000-0005-0000-0000-00002B5E0000}"/>
    <cellStyle name="Normal 289 3 2 2" xfId="24108" xr:uid="{00000000-0005-0000-0000-00002C5E0000}"/>
    <cellStyle name="Normal 289 3 2 2 2" xfId="24109" xr:uid="{00000000-0005-0000-0000-00002D5E0000}"/>
    <cellStyle name="Normal 289 3 2 3" xfId="24110" xr:uid="{00000000-0005-0000-0000-00002E5E0000}"/>
    <cellStyle name="Normal 289 3 2 3 2" xfId="24111" xr:uid="{00000000-0005-0000-0000-00002F5E0000}"/>
    <cellStyle name="Normal 289 3 2 3 2 2" xfId="24112" xr:uid="{00000000-0005-0000-0000-0000305E0000}"/>
    <cellStyle name="Normal 289 3 2 3 3" xfId="24113" xr:uid="{00000000-0005-0000-0000-0000315E0000}"/>
    <cellStyle name="Normal 289 3 2 4" xfId="24114" xr:uid="{00000000-0005-0000-0000-0000325E0000}"/>
    <cellStyle name="Normal 289 3 3" xfId="24115" xr:uid="{00000000-0005-0000-0000-0000335E0000}"/>
    <cellStyle name="Normal 289 3 3 2" xfId="24116" xr:uid="{00000000-0005-0000-0000-0000345E0000}"/>
    <cellStyle name="Normal 289 3 3 2 2" xfId="24117" xr:uid="{00000000-0005-0000-0000-0000355E0000}"/>
    <cellStyle name="Normal 289 3 3 3" xfId="24118" xr:uid="{00000000-0005-0000-0000-0000365E0000}"/>
    <cellStyle name="Normal 289 3 4" xfId="24119" xr:uid="{00000000-0005-0000-0000-0000375E0000}"/>
    <cellStyle name="Normal 289 3 4 2" xfId="24120" xr:uid="{00000000-0005-0000-0000-0000385E0000}"/>
    <cellStyle name="Normal 289 3 4 2 2" xfId="24121" xr:uid="{00000000-0005-0000-0000-0000395E0000}"/>
    <cellStyle name="Normal 289 3 4 3" xfId="24122" xr:uid="{00000000-0005-0000-0000-00003A5E0000}"/>
    <cellStyle name="Normal 289 3 5" xfId="24123" xr:uid="{00000000-0005-0000-0000-00003B5E0000}"/>
    <cellStyle name="Normal 289 3 5 2" xfId="24124" xr:uid="{00000000-0005-0000-0000-00003C5E0000}"/>
    <cellStyle name="Normal 289 3 5 2 2" xfId="24125" xr:uid="{00000000-0005-0000-0000-00003D5E0000}"/>
    <cellStyle name="Normal 289 3 5 3" xfId="24126" xr:uid="{00000000-0005-0000-0000-00003E5E0000}"/>
    <cellStyle name="Normal 289 3 6" xfId="24127" xr:uid="{00000000-0005-0000-0000-00003F5E0000}"/>
    <cellStyle name="Normal 289 4" xfId="24128" xr:uid="{00000000-0005-0000-0000-0000405E0000}"/>
    <cellStyle name="Normal 289 4 2" xfId="24129" xr:uid="{00000000-0005-0000-0000-0000415E0000}"/>
    <cellStyle name="Normal 289 4 2 2" xfId="24130" xr:uid="{00000000-0005-0000-0000-0000425E0000}"/>
    <cellStyle name="Normal 289 4 3" xfId="24131" xr:uid="{00000000-0005-0000-0000-0000435E0000}"/>
    <cellStyle name="Normal 289 5" xfId="24132" xr:uid="{00000000-0005-0000-0000-0000445E0000}"/>
    <cellStyle name="Normal 289 5 2" xfId="24133" xr:uid="{00000000-0005-0000-0000-0000455E0000}"/>
    <cellStyle name="Normal 289 5 2 2" xfId="24134" xr:uid="{00000000-0005-0000-0000-0000465E0000}"/>
    <cellStyle name="Normal 289 5 3" xfId="24135" xr:uid="{00000000-0005-0000-0000-0000475E0000}"/>
    <cellStyle name="Normal 289 6" xfId="24136" xr:uid="{00000000-0005-0000-0000-0000485E0000}"/>
    <cellStyle name="Normal 289 6 2" xfId="24137" xr:uid="{00000000-0005-0000-0000-0000495E0000}"/>
    <cellStyle name="Normal 289 6 2 2" xfId="24138" xr:uid="{00000000-0005-0000-0000-00004A5E0000}"/>
    <cellStyle name="Normal 289 6 3" xfId="24139" xr:uid="{00000000-0005-0000-0000-00004B5E0000}"/>
    <cellStyle name="Normal 289 7" xfId="24140" xr:uid="{00000000-0005-0000-0000-00004C5E0000}"/>
    <cellStyle name="Normal 29" xfId="24141" xr:uid="{00000000-0005-0000-0000-00004D5E0000}"/>
    <cellStyle name="Normal 29 2" xfId="24142" xr:uid="{00000000-0005-0000-0000-00004E5E0000}"/>
    <cellStyle name="Normal 29 2 2" xfId="24143" xr:uid="{00000000-0005-0000-0000-00004F5E0000}"/>
    <cellStyle name="Normal 29 2 2 2" xfId="24144" xr:uid="{00000000-0005-0000-0000-0000505E0000}"/>
    <cellStyle name="Normal 29 2 2 2 2" xfId="24145" xr:uid="{00000000-0005-0000-0000-0000515E0000}"/>
    <cellStyle name="Normal 29 2 2 3" xfId="24146" xr:uid="{00000000-0005-0000-0000-0000525E0000}"/>
    <cellStyle name="Normal 29 2 2 3 2" xfId="24147" xr:uid="{00000000-0005-0000-0000-0000535E0000}"/>
    <cellStyle name="Normal 29 2 2 3 2 2" xfId="24148" xr:uid="{00000000-0005-0000-0000-0000545E0000}"/>
    <cellStyle name="Normal 29 2 2 3 3" xfId="24149" xr:uid="{00000000-0005-0000-0000-0000555E0000}"/>
    <cellStyle name="Normal 29 2 2 4" xfId="24150" xr:uid="{00000000-0005-0000-0000-0000565E0000}"/>
    <cellStyle name="Normal 29 2 2 4 2" xfId="24151" xr:uid="{00000000-0005-0000-0000-0000575E0000}"/>
    <cellStyle name="Normal 29 2 2 4 2 2" xfId="24152" xr:uid="{00000000-0005-0000-0000-0000585E0000}"/>
    <cellStyle name="Normal 29 2 2 4 3" xfId="24153" xr:uid="{00000000-0005-0000-0000-0000595E0000}"/>
    <cellStyle name="Normal 29 2 2 5" xfId="24154" xr:uid="{00000000-0005-0000-0000-00005A5E0000}"/>
    <cellStyle name="Normal 29 2 3" xfId="24155" xr:uid="{00000000-0005-0000-0000-00005B5E0000}"/>
    <cellStyle name="Normal 29 2 3 2" xfId="24156" xr:uid="{00000000-0005-0000-0000-00005C5E0000}"/>
    <cellStyle name="Normal 29 2 3 2 2" xfId="24157" xr:uid="{00000000-0005-0000-0000-00005D5E0000}"/>
    <cellStyle name="Normal 29 2 3 3" xfId="24158" xr:uid="{00000000-0005-0000-0000-00005E5E0000}"/>
    <cellStyle name="Normal 29 2 4" xfId="24159" xr:uid="{00000000-0005-0000-0000-00005F5E0000}"/>
    <cellStyle name="Normal 29 2 4 2" xfId="24160" xr:uid="{00000000-0005-0000-0000-0000605E0000}"/>
    <cellStyle name="Normal 29 2 4 2 2" xfId="24161" xr:uid="{00000000-0005-0000-0000-0000615E0000}"/>
    <cellStyle name="Normal 29 2 4 3" xfId="24162" xr:uid="{00000000-0005-0000-0000-0000625E0000}"/>
    <cellStyle name="Normal 29 2 5" xfId="24163" xr:uid="{00000000-0005-0000-0000-0000635E0000}"/>
    <cellStyle name="Normal 29 2 5 2" xfId="24164" xr:uid="{00000000-0005-0000-0000-0000645E0000}"/>
    <cellStyle name="Normal 29 2 5 2 2" xfId="24165" xr:uid="{00000000-0005-0000-0000-0000655E0000}"/>
    <cellStyle name="Normal 29 2 5 3" xfId="24166" xr:uid="{00000000-0005-0000-0000-0000665E0000}"/>
    <cellStyle name="Normal 29 2 6" xfId="24167" xr:uid="{00000000-0005-0000-0000-0000675E0000}"/>
    <cellStyle name="Normal 29 3" xfId="24168" xr:uid="{00000000-0005-0000-0000-0000685E0000}"/>
    <cellStyle name="Normal 29 3 2" xfId="24169" xr:uid="{00000000-0005-0000-0000-0000695E0000}"/>
    <cellStyle name="Normal 29 3 2 2" xfId="24170" xr:uid="{00000000-0005-0000-0000-00006A5E0000}"/>
    <cellStyle name="Normal 29 3 3" xfId="24171" xr:uid="{00000000-0005-0000-0000-00006B5E0000}"/>
    <cellStyle name="Normal 29 3 3 2" xfId="24172" xr:uid="{00000000-0005-0000-0000-00006C5E0000}"/>
    <cellStyle name="Normal 29 3 3 2 2" xfId="24173" xr:uid="{00000000-0005-0000-0000-00006D5E0000}"/>
    <cellStyle name="Normal 29 3 3 3" xfId="24174" xr:uid="{00000000-0005-0000-0000-00006E5E0000}"/>
    <cellStyle name="Normal 29 3 4" xfId="24175" xr:uid="{00000000-0005-0000-0000-00006F5E0000}"/>
    <cellStyle name="Normal 29 3 4 2" xfId="24176" xr:uid="{00000000-0005-0000-0000-0000705E0000}"/>
    <cellStyle name="Normal 29 3 4 2 2" xfId="24177" xr:uid="{00000000-0005-0000-0000-0000715E0000}"/>
    <cellStyle name="Normal 29 3 4 3" xfId="24178" xr:uid="{00000000-0005-0000-0000-0000725E0000}"/>
    <cellStyle name="Normal 29 3 5" xfId="24179" xr:uid="{00000000-0005-0000-0000-0000735E0000}"/>
    <cellStyle name="Normal 29 4" xfId="24180" xr:uid="{00000000-0005-0000-0000-0000745E0000}"/>
    <cellStyle name="Normal 29 4 2" xfId="24181" xr:uid="{00000000-0005-0000-0000-0000755E0000}"/>
    <cellStyle name="Normal 29 4 2 2" xfId="24182" xr:uid="{00000000-0005-0000-0000-0000765E0000}"/>
    <cellStyle name="Normal 29 4 3" xfId="24183" xr:uid="{00000000-0005-0000-0000-0000775E0000}"/>
    <cellStyle name="Normal 29 5" xfId="24184" xr:uid="{00000000-0005-0000-0000-0000785E0000}"/>
    <cellStyle name="Normal 29 5 2" xfId="24185" xr:uid="{00000000-0005-0000-0000-0000795E0000}"/>
    <cellStyle name="Normal 29 5 2 2" xfId="24186" xr:uid="{00000000-0005-0000-0000-00007A5E0000}"/>
    <cellStyle name="Normal 29 5 3" xfId="24187" xr:uid="{00000000-0005-0000-0000-00007B5E0000}"/>
    <cellStyle name="Normal 29 6" xfId="24188" xr:uid="{00000000-0005-0000-0000-00007C5E0000}"/>
    <cellStyle name="Normal 29 6 2" xfId="24189" xr:uid="{00000000-0005-0000-0000-00007D5E0000}"/>
    <cellStyle name="Normal 29 6 2 2" xfId="24190" xr:uid="{00000000-0005-0000-0000-00007E5E0000}"/>
    <cellStyle name="Normal 29 6 3" xfId="24191" xr:uid="{00000000-0005-0000-0000-00007F5E0000}"/>
    <cellStyle name="Normal 29 7" xfId="24192" xr:uid="{00000000-0005-0000-0000-0000805E0000}"/>
    <cellStyle name="Normal 290" xfId="24193" xr:uid="{00000000-0005-0000-0000-0000815E0000}"/>
    <cellStyle name="Normal 290 2" xfId="24194" xr:uid="{00000000-0005-0000-0000-0000825E0000}"/>
    <cellStyle name="Normal 290 2 2" xfId="24195" xr:uid="{00000000-0005-0000-0000-0000835E0000}"/>
    <cellStyle name="Normal 290 2 2 2" xfId="24196" xr:uid="{00000000-0005-0000-0000-0000845E0000}"/>
    <cellStyle name="Normal 290 2 3" xfId="24197" xr:uid="{00000000-0005-0000-0000-0000855E0000}"/>
    <cellStyle name="Normal 290 2 3 2" xfId="24198" xr:uid="{00000000-0005-0000-0000-0000865E0000}"/>
    <cellStyle name="Normal 290 2 3 2 2" xfId="24199" xr:uid="{00000000-0005-0000-0000-0000875E0000}"/>
    <cellStyle name="Normal 290 2 3 3" xfId="24200" xr:uid="{00000000-0005-0000-0000-0000885E0000}"/>
    <cellStyle name="Normal 290 2 4" xfId="24201" xr:uid="{00000000-0005-0000-0000-0000895E0000}"/>
    <cellStyle name="Normal 290 2 4 2" xfId="24202" xr:uid="{00000000-0005-0000-0000-00008A5E0000}"/>
    <cellStyle name="Normal 290 2 4 2 2" xfId="24203" xr:uid="{00000000-0005-0000-0000-00008B5E0000}"/>
    <cellStyle name="Normal 290 2 4 3" xfId="24204" xr:uid="{00000000-0005-0000-0000-00008C5E0000}"/>
    <cellStyle name="Normal 290 2 5" xfId="24205" xr:uid="{00000000-0005-0000-0000-00008D5E0000}"/>
    <cellStyle name="Normal 290 3" xfId="24206" xr:uid="{00000000-0005-0000-0000-00008E5E0000}"/>
    <cellStyle name="Normal 290 3 2" xfId="24207" xr:uid="{00000000-0005-0000-0000-00008F5E0000}"/>
    <cellStyle name="Normal 290 3 2 2" xfId="24208" xr:uid="{00000000-0005-0000-0000-0000905E0000}"/>
    <cellStyle name="Normal 290 3 2 2 2" xfId="24209" xr:uid="{00000000-0005-0000-0000-0000915E0000}"/>
    <cellStyle name="Normal 290 3 2 3" xfId="24210" xr:uid="{00000000-0005-0000-0000-0000925E0000}"/>
    <cellStyle name="Normal 290 3 2 3 2" xfId="24211" xr:uid="{00000000-0005-0000-0000-0000935E0000}"/>
    <cellStyle name="Normal 290 3 2 3 2 2" xfId="24212" xr:uid="{00000000-0005-0000-0000-0000945E0000}"/>
    <cellStyle name="Normal 290 3 2 3 3" xfId="24213" xr:uid="{00000000-0005-0000-0000-0000955E0000}"/>
    <cellStyle name="Normal 290 3 2 4" xfId="24214" xr:uid="{00000000-0005-0000-0000-0000965E0000}"/>
    <cellStyle name="Normal 290 3 3" xfId="24215" xr:uid="{00000000-0005-0000-0000-0000975E0000}"/>
    <cellStyle name="Normal 290 3 3 2" xfId="24216" xr:uid="{00000000-0005-0000-0000-0000985E0000}"/>
    <cellStyle name="Normal 290 3 3 2 2" xfId="24217" xr:uid="{00000000-0005-0000-0000-0000995E0000}"/>
    <cellStyle name="Normal 290 3 3 3" xfId="24218" xr:uid="{00000000-0005-0000-0000-00009A5E0000}"/>
    <cellStyle name="Normal 290 3 4" xfId="24219" xr:uid="{00000000-0005-0000-0000-00009B5E0000}"/>
    <cellStyle name="Normal 290 3 4 2" xfId="24220" xr:uid="{00000000-0005-0000-0000-00009C5E0000}"/>
    <cellStyle name="Normal 290 3 4 2 2" xfId="24221" xr:uid="{00000000-0005-0000-0000-00009D5E0000}"/>
    <cellStyle name="Normal 290 3 4 3" xfId="24222" xr:uid="{00000000-0005-0000-0000-00009E5E0000}"/>
    <cellStyle name="Normal 290 3 5" xfId="24223" xr:uid="{00000000-0005-0000-0000-00009F5E0000}"/>
    <cellStyle name="Normal 290 3 5 2" xfId="24224" xr:uid="{00000000-0005-0000-0000-0000A05E0000}"/>
    <cellStyle name="Normal 290 3 5 2 2" xfId="24225" xr:uid="{00000000-0005-0000-0000-0000A15E0000}"/>
    <cellStyle name="Normal 290 3 5 3" xfId="24226" xr:uid="{00000000-0005-0000-0000-0000A25E0000}"/>
    <cellStyle name="Normal 290 3 6" xfId="24227" xr:uid="{00000000-0005-0000-0000-0000A35E0000}"/>
    <cellStyle name="Normal 290 4" xfId="24228" xr:uid="{00000000-0005-0000-0000-0000A45E0000}"/>
    <cellStyle name="Normal 290 4 2" xfId="24229" xr:uid="{00000000-0005-0000-0000-0000A55E0000}"/>
    <cellStyle name="Normal 290 4 2 2" xfId="24230" xr:uid="{00000000-0005-0000-0000-0000A65E0000}"/>
    <cellStyle name="Normal 290 4 3" xfId="24231" xr:uid="{00000000-0005-0000-0000-0000A75E0000}"/>
    <cellStyle name="Normal 290 5" xfId="24232" xr:uid="{00000000-0005-0000-0000-0000A85E0000}"/>
    <cellStyle name="Normal 290 5 2" xfId="24233" xr:uid="{00000000-0005-0000-0000-0000A95E0000}"/>
    <cellStyle name="Normal 290 5 2 2" xfId="24234" xr:uid="{00000000-0005-0000-0000-0000AA5E0000}"/>
    <cellStyle name="Normal 290 5 3" xfId="24235" xr:uid="{00000000-0005-0000-0000-0000AB5E0000}"/>
    <cellStyle name="Normal 290 6" xfId="24236" xr:uid="{00000000-0005-0000-0000-0000AC5E0000}"/>
    <cellStyle name="Normal 290 6 2" xfId="24237" xr:uid="{00000000-0005-0000-0000-0000AD5E0000}"/>
    <cellStyle name="Normal 290 6 2 2" xfId="24238" xr:uid="{00000000-0005-0000-0000-0000AE5E0000}"/>
    <cellStyle name="Normal 290 6 3" xfId="24239" xr:uid="{00000000-0005-0000-0000-0000AF5E0000}"/>
    <cellStyle name="Normal 290 7" xfId="24240" xr:uid="{00000000-0005-0000-0000-0000B05E0000}"/>
    <cellStyle name="Normal 291" xfId="24241" xr:uid="{00000000-0005-0000-0000-0000B15E0000}"/>
    <cellStyle name="Normal 291 2" xfId="24242" xr:uid="{00000000-0005-0000-0000-0000B25E0000}"/>
    <cellStyle name="Normal 291 2 2" xfId="24243" xr:uid="{00000000-0005-0000-0000-0000B35E0000}"/>
    <cellStyle name="Normal 291 2 2 2" xfId="24244" xr:uid="{00000000-0005-0000-0000-0000B45E0000}"/>
    <cellStyle name="Normal 291 2 3" xfId="24245" xr:uid="{00000000-0005-0000-0000-0000B55E0000}"/>
    <cellStyle name="Normal 291 2 3 2" xfId="24246" xr:uid="{00000000-0005-0000-0000-0000B65E0000}"/>
    <cellStyle name="Normal 291 2 3 2 2" xfId="24247" xr:uid="{00000000-0005-0000-0000-0000B75E0000}"/>
    <cellStyle name="Normal 291 2 3 3" xfId="24248" xr:uid="{00000000-0005-0000-0000-0000B85E0000}"/>
    <cellStyle name="Normal 291 2 4" xfId="24249" xr:uid="{00000000-0005-0000-0000-0000B95E0000}"/>
    <cellStyle name="Normal 291 2 4 2" xfId="24250" xr:uid="{00000000-0005-0000-0000-0000BA5E0000}"/>
    <cellStyle name="Normal 291 2 4 2 2" xfId="24251" xr:uid="{00000000-0005-0000-0000-0000BB5E0000}"/>
    <cellStyle name="Normal 291 2 4 3" xfId="24252" xr:uid="{00000000-0005-0000-0000-0000BC5E0000}"/>
    <cellStyle name="Normal 291 2 5" xfId="24253" xr:uid="{00000000-0005-0000-0000-0000BD5E0000}"/>
    <cellStyle name="Normal 291 3" xfId="24254" xr:uid="{00000000-0005-0000-0000-0000BE5E0000}"/>
    <cellStyle name="Normal 291 3 2" xfId="24255" xr:uid="{00000000-0005-0000-0000-0000BF5E0000}"/>
    <cellStyle name="Normal 291 3 2 2" xfId="24256" xr:uid="{00000000-0005-0000-0000-0000C05E0000}"/>
    <cellStyle name="Normal 291 3 2 2 2" xfId="24257" xr:uid="{00000000-0005-0000-0000-0000C15E0000}"/>
    <cellStyle name="Normal 291 3 2 3" xfId="24258" xr:uid="{00000000-0005-0000-0000-0000C25E0000}"/>
    <cellStyle name="Normal 291 3 2 3 2" xfId="24259" xr:uid="{00000000-0005-0000-0000-0000C35E0000}"/>
    <cellStyle name="Normal 291 3 2 3 2 2" xfId="24260" xr:uid="{00000000-0005-0000-0000-0000C45E0000}"/>
    <cellStyle name="Normal 291 3 2 3 3" xfId="24261" xr:uid="{00000000-0005-0000-0000-0000C55E0000}"/>
    <cellStyle name="Normal 291 3 2 4" xfId="24262" xr:uid="{00000000-0005-0000-0000-0000C65E0000}"/>
    <cellStyle name="Normal 291 3 3" xfId="24263" xr:uid="{00000000-0005-0000-0000-0000C75E0000}"/>
    <cellStyle name="Normal 291 3 3 2" xfId="24264" xr:uid="{00000000-0005-0000-0000-0000C85E0000}"/>
    <cellStyle name="Normal 291 3 3 2 2" xfId="24265" xr:uid="{00000000-0005-0000-0000-0000C95E0000}"/>
    <cellStyle name="Normal 291 3 3 3" xfId="24266" xr:uid="{00000000-0005-0000-0000-0000CA5E0000}"/>
    <cellStyle name="Normal 291 3 4" xfId="24267" xr:uid="{00000000-0005-0000-0000-0000CB5E0000}"/>
    <cellStyle name="Normal 291 3 4 2" xfId="24268" xr:uid="{00000000-0005-0000-0000-0000CC5E0000}"/>
    <cellStyle name="Normal 291 3 4 2 2" xfId="24269" xr:uid="{00000000-0005-0000-0000-0000CD5E0000}"/>
    <cellStyle name="Normal 291 3 4 3" xfId="24270" xr:uid="{00000000-0005-0000-0000-0000CE5E0000}"/>
    <cellStyle name="Normal 291 3 5" xfId="24271" xr:uid="{00000000-0005-0000-0000-0000CF5E0000}"/>
    <cellStyle name="Normal 291 3 5 2" xfId="24272" xr:uid="{00000000-0005-0000-0000-0000D05E0000}"/>
    <cellStyle name="Normal 291 3 5 2 2" xfId="24273" xr:uid="{00000000-0005-0000-0000-0000D15E0000}"/>
    <cellStyle name="Normal 291 3 5 3" xfId="24274" xr:uid="{00000000-0005-0000-0000-0000D25E0000}"/>
    <cellStyle name="Normal 291 3 6" xfId="24275" xr:uid="{00000000-0005-0000-0000-0000D35E0000}"/>
    <cellStyle name="Normal 291 4" xfId="24276" xr:uid="{00000000-0005-0000-0000-0000D45E0000}"/>
    <cellStyle name="Normal 291 4 2" xfId="24277" xr:uid="{00000000-0005-0000-0000-0000D55E0000}"/>
    <cellStyle name="Normal 291 4 2 2" xfId="24278" xr:uid="{00000000-0005-0000-0000-0000D65E0000}"/>
    <cellStyle name="Normal 291 4 3" xfId="24279" xr:uid="{00000000-0005-0000-0000-0000D75E0000}"/>
    <cellStyle name="Normal 291 5" xfId="24280" xr:uid="{00000000-0005-0000-0000-0000D85E0000}"/>
    <cellStyle name="Normal 291 5 2" xfId="24281" xr:uid="{00000000-0005-0000-0000-0000D95E0000}"/>
    <cellStyle name="Normal 291 5 2 2" xfId="24282" xr:uid="{00000000-0005-0000-0000-0000DA5E0000}"/>
    <cellStyle name="Normal 291 5 3" xfId="24283" xr:uid="{00000000-0005-0000-0000-0000DB5E0000}"/>
    <cellStyle name="Normal 291 6" xfId="24284" xr:uid="{00000000-0005-0000-0000-0000DC5E0000}"/>
    <cellStyle name="Normal 291 6 2" xfId="24285" xr:uid="{00000000-0005-0000-0000-0000DD5E0000}"/>
    <cellStyle name="Normal 291 6 2 2" xfId="24286" xr:uid="{00000000-0005-0000-0000-0000DE5E0000}"/>
    <cellStyle name="Normal 291 6 3" xfId="24287" xr:uid="{00000000-0005-0000-0000-0000DF5E0000}"/>
    <cellStyle name="Normal 291 7" xfId="24288" xr:uid="{00000000-0005-0000-0000-0000E05E0000}"/>
    <cellStyle name="Normal 292" xfId="24289" xr:uid="{00000000-0005-0000-0000-0000E15E0000}"/>
    <cellStyle name="Normal 292 2" xfId="24290" xr:uid="{00000000-0005-0000-0000-0000E25E0000}"/>
    <cellStyle name="Normal 292 2 2" xfId="24291" xr:uid="{00000000-0005-0000-0000-0000E35E0000}"/>
    <cellStyle name="Normal 292 2 2 2" xfId="24292" xr:uid="{00000000-0005-0000-0000-0000E45E0000}"/>
    <cellStyle name="Normal 292 2 3" xfId="24293" xr:uid="{00000000-0005-0000-0000-0000E55E0000}"/>
    <cellStyle name="Normal 292 2 3 2" xfId="24294" xr:uid="{00000000-0005-0000-0000-0000E65E0000}"/>
    <cellStyle name="Normal 292 2 3 2 2" xfId="24295" xr:uid="{00000000-0005-0000-0000-0000E75E0000}"/>
    <cellStyle name="Normal 292 2 3 3" xfId="24296" xr:uid="{00000000-0005-0000-0000-0000E85E0000}"/>
    <cellStyle name="Normal 292 2 4" xfId="24297" xr:uid="{00000000-0005-0000-0000-0000E95E0000}"/>
    <cellStyle name="Normal 292 2 4 2" xfId="24298" xr:uid="{00000000-0005-0000-0000-0000EA5E0000}"/>
    <cellStyle name="Normal 292 2 4 2 2" xfId="24299" xr:uid="{00000000-0005-0000-0000-0000EB5E0000}"/>
    <cellStyle name="Normal 292 2 4 3" xfId="24300" xr:uid="{00000000-0005-0000-0000-0000EC5E0000}"/>
    <cellStyle name="Normal 292 2 5" xfId="24301" xr:uid="{00000000-0005-0000-0000-0000ED5E0000}"/>
    <cellStyle name="Normal 292 3" xfId="24302" xr:uid="{00000000-0005-0000-0000-0000EE5E0000}"/>
    <cellStyle name="Normal 292 3 2" xfId="24303" xr:uid="{00000000-0005-0000-0000-0000EF5E0000}"/>
    <cellStyle name="Normal 292 3 2 2" xfId="24304" xr:uid="{00000000-0005-0000-0000-0000F05E0000}"/>
    <cellStyle name="Normal 292 3 2 2 2" xfId="24305" xr:uid="{00000000-0005-0000-0000-0000F15E0000}"/>
    <cellStyle name="Normal 292 3 2 3" xfId="24306" xr:uid="{00000000-0005-0000-0000-0000F25E0000}"/>
    <cellStyle name="Normal 292 3 2 3 2" xfId="24307" xr:uid="{00000000-0005-0000-0000-0000F35E0000}"/>
    <cellStyle name="Normal 292 3 2 3 2 2" xfId="24308" xr:uid="{00000000-0005-0000-0000-0000F45E0000}"/>
    <cellStyle name="Normal 292 3 2 3 3" xfId="24309" xr:uid="{00000000-0005-0000-0000-0000F55E0000}"/>
    <cellStyle name="Normal 292 3 2 4" xfId="24310" xr:uid="{00000000-0005-0000-0000-0000F65E0000}"/>
    <cellStyle name="Normal 292 3 3" xfId="24311" xr:uid="{00000000-0005-0000-0000-0000F75E0000}"/>
    <cellStyle name="Normal 292 3 3 2" xfId="24312" xr:uid="{00000000-0005-0000-0000-0000F85E0000}"/>
    <cellStyle name="Normal 292 3 3 2 2" xfId="24313" xr:uid="{00000000-0005-0000-0000-0000F95E0000}"/>
    <cellStyle name="Normal 292 3 3 3" xfId="24314" xr:uid="{00000000-0005-0000-0000-0000FA5E0000}"/>
    <cellStyle name="Normal 292 3 4" xfId="24315" xr:uid="{00000000-0005-0000-0000-0000FB5E0000}"/>
    <cellStyle name="Normal 292 3 4 2" xfId="24316" xr:uid="{00000000-0005-0000-0000-0000FC5E0000}"/>
    <cellStyle name="Normal 292 3 4 2 2" xfId="24317" xr:uid="{00000000-0005-0000-0000-0000FD5E0000}"/>
    <cellStyle name="Normal 292 3 4 3" xfId="24318" xr:uid="{00000000-0005-0000-0000-0000FE5E0000}"/>
    <cellStyle name="Normal 292 3 5" xfId="24319" xr:uid="{00000000-0005-0000-0000-0000FF5E0000}"/>
    <cellStyle name="Normal 292 3 5 2" xfId="24320" xr:uid="{00000000-0005-0000-0000-0000005F0000}"/>
    <cellStyle name="Normal 292 3 5 2 2" xfId="24321" xr:uid="{00000000-0005-0000-0000-0000015F0000}"/>
    <cellStyle name="Normal 292 3 5 3" xfId="24322" xr:uid="{00000000-0005-0000-0000-0000025F0000}"/>
    <cellStyle name="Normal 292 3 6" xfId="24323" xr:uid="{00000000-0005-0000-0000-0000035F0000}"/>
    <cellStyle name="Normal 292 4" xfId="24324" xr:uid="{00000000-0005-0000-0000-0000045F0000}"/>
    <cellStyle name="Normal 292 4 2" xfId="24325" xr:uid="{00000000-0005-0000-0000-0000055F0000}"/>
    <cellStyle name="Normal 292 4 2 2" xfId="24326" xr:uid="{00000000-0005-0000-0000-0000065F0000}"/>
    <cellStyle name="Normal 292 4 3" xfId="24327" xr:uid="{00000000-0005-0000-0000-0000075F0000}"/>
    <cellStyle name="Normal 292 5" xfId="24328" xr:uid="{00000000-0005-0000-0000-0000085F0000}"/>
    <cellStyle name="Normal 292 5 2" xfId="24329" xr:uid="{00000000-0005-0000-0000-0000095F0000}"/>
    <cellStyle name="Normal 292 5 2 2" xfId="24330" xr:uid="{00000000-0005-0000-0000-00000A5F0000}"/>
    <cellStyle name="Normal 292 5 3" xfId="24331" xr:uid="{00000000-0005-0000-0000-00000B5F0000}"/>
    <cellStyle name="Normal 292 6" xfId="24332" xr:uid="{00000000-0005-0000-0000-00000C5F0000}"/>
    <cellStyle name="Normal 292 6 2" xfId="24333" xr:uid="{00000000-0005-0000-0000-00000D5F0000}"/>
    <cellStyle name="Normal 292 6 2 2" xfId="24334" xr:uid="{00000000-0005-0000-0000-00000E5F0000}"/>
    <cellStyle name="Normal 292 6 3" xfId="24335" xr:uid="{00000000-0005-0000-0000-00000F5F0000}"/>
    <cellStyle name="Normal 292 7" xfId="24336" xr:uid="{00000000-0005-0000-0000-0000105F0000}"/>
    <cellStyle name="Normal 293" xfId="24337" xr:uid="{00000000-0005-0000-0000-0000115F0000}"/>
    <cellStyle name="Normal 293 2" xfId="24338" xr:uid="{00000000-0005-0000-0000-0000125F0000}"/>
    <cellStyle name="Normal 293 2 2" xfId="24339" xr:uid="{00000000-0005-0000-0000-0000135F0000}"/>
    <cellStyle name="Normal 293 2 2 2" xfId="24340" xr:uid="{00000000-0005-0000-0000-0000145F0000}"/>
    <cellStyle name="Normal 293 2 3" xfId="24341" xr:uid="{00000000-0005-0000-0000-0000155F0000}"/>
    <cellStyle name="Normal 293 2 3 2" xfId="24342" xr:uid="{00000000-0005-0000-0000-0000165F0000}"/>
    <cellStyle name="Normal 293 2 3 2 2" xfId="24343" xr:uid="{00000000-0005-0000-0000-0000175F0000}"/>
    <cellStyle name="Normal 293 2 3 3" xfId="24344" xr:uid="{00000000-0005-0000-0000-0000185F0000}"/>
    <cellStyle name="Normal 293 2 4" xfId="24345" xr:uid="{00000000-0005-0000-0000-0000195F0000}"/>
    <cellStyle name="Normal 293 2 4 2" xfId="24346" xr:uid="{00000000-0005-0000-0000-00001A5F0000}"/>
    <cellStyle name="Normal 293 2 4 2 2" xfId="24347" xr:uid="{00000000-0005-0000-0000-00001B5F0000}"/>
    <cellStyle name="Normal 293 2 4 3" xfId="24348" xr:uid="{00000000-0005-0000-0000-00001C5F0000}"/>
    <cellStyle name="Normal 293 2 5" xfId="24349" xr:uid="{00000000-0005-0000-0000-00001D5F0000}"/>
    <cellStyle name="Normal 293 3" xfId="24350" xr:uid="{00000000-0005-0000-0000-00001E5F0000}"/>
    <cellStyle name="Normal 293 3 2" xfId="24351" xr:uid="{00000000-0005-0000-0000-00001F5F0000}"/>
    <cellStyle name="Normal 293 3 2 2" xfId="24352" xr:uid="{00000000-0005-0000-0000-0000205F0000}"/>
    <cellStyle name="Normal 293 3 2 2 2" xfId="24353" xr:uid="{00000000-0005-0000-0000-0000215F0000}"/>
    <cellStyle name="Normal 293 3 2 3" xfId="24354" xr:uid="{00000000-0005-0000-0000-0000225F0000}"/>
    <cellStyle name="Normal 293 3 2 3 2" xfId="24355" xr:uid="{00000000-0005-0000-0000-0000235F0000}"/>
    <cellStyle name="Normal 293 3 2 3 2 2" xfId="24356" xr:uid="{00000000-0005-0000-0000-0000245F0000}"/>
    <cellStyle name="Normal 293 3 2 3 3" xfId="24357" xr:uid="{00000000-0005-0000-0000-0000255F0000}"/>
    <cellStyle name="Normal 293 3 2 4" xfId="24358" xr:uid="{00000000-0005-0000-0000-0000265F0000}"/>
    <cellStyle name="Normal 293 3 3" xfId="24359" xr:uid="{00000000-0005-0000-0000-0000275F0000}"/>
    <cellStyle name="Normal 293 3 3 2" xfId="24360" xr:uid="{00000000-0005-0000-0000-0000285F0000}"/>
    <cellStyle name="Normal 293 3 3 2 2" xfId="24361" xr:uid="{00000000-0005-0000-0000-0000295F0000}"/>
    <cellStyle name="Normal 293 3 3 3" xfId="24362" xr:uid="{00000000-0005-0000-0000-00002A5F0000}"/>
    <cellStyle name="Normal 293 3 4" xfId="24363" xr:uid="{00000000-0005-0000-0000-00002B5F0000}"/>
    <cellStyle name="Normal 293 3 4 2" xfId="24364" xr:uid="{00000000-0005-0000-0000-00002C5F0000}"/>
    <cellStyle name="Normal 293 3 4 2 2" xfId="24365" xr:uid="{00000000-0005-0000-0000-00002D5F0000}"/>
    <cellStyle name="Normal 293 3 4 3" xfId="24366" xr:uid="{00000000-0005-0000-0000-00002E5F0000}"/>
    <cellStyle name="Normal 293 3 5" xfId="24367" xr:uid="{00000000-0005-0000-0000-00002F5F0000}"/>
    <cellStyle name="Normal 293 3 5 2" xfId="24368" xr:uid="{00000000-0005-0000-0000-0000305F0000}"/>
    <cellStyle name="Normal 293 3 5 2 2" xfId="24369" xr:uid="{00000000-0005-0000-0000-0000315F0000}"/>
    <cellStyle name="Normal 293 3 5 3" xfId="24370" xr:uid="{00000000-0005-0000-0000-0000325F0000}"/>
    <cellStyle name="Normal 293 3 6" xfId="24371" xr:uid="{00000000-0005-0000-0000-0000335F0000}"/>
    <cellStyle name="Normal 293 4" xfId="24372" xr:uid="{00000000-0005-0000-0000-0000345F0000}"/>
    <cellStyle name="Normal 293 4 2" xfId="24373" xr:uid="{00000000-0005-0000-0000-0000355F0000}"/>
    <cellStyle name="Normal 293 4 2 2" xfId="24374" xr:uid="{00000000-0005-0000-0000-0000365F0000}"/>
    <cellStyle name="Normal 293 4 3" xfId="24375" xr:uid="{00000000-0005-0000-0000-0000375F0000}"/>
    <cellStyle name="Normal 293 5" xfId="24376" xr:uid="{00000000-0005-0000-0000-0000385F0000}"/>
    <cellStyle name="Normal 293 5 2" xfId="24377" xr:uid="{00000000-0005-0000-0000-0000395F0000}"/>
    <cellStyle name="Normal 293 5 2 2" xfId="24378" xr:uid="{00000000-0005-0000-0000-00003A5F0000}"/>
    <cellStyle name="Normal 293 5 3" xfId="24379" xr:uid="{00000000-0005-0000-0000-00003B5F0000}"/>
    <cellStyle name="Normal 293 6" xfId="24380" xr:uid="{00000000-0005-0000-0000-00003C5F0000}"/>
    <cellStyle name="Normal 293 6 2" xfId="24381" xr:uid="{00000000-0005-0000-0000-00003D5F0000}"/>
    <cellStyle name="Normal 293 6 2 2" xfId="24382" xr:uid="{00000000-0005-0000-0000-00003E5F0000}"/>
    <cellStyle name="Normal 293 6 3" xfId="24383" xr:uid="{00000000-0005-0000-0000-00003F5F0000}"/>
    <cellStyle name="Normal 293 7" xfId="24384" xr:uid="{00000000-0005-0000-0000-0000405F0000}"/>
    <cellStyle name="Normal 294" xfId="24385" xr:uid="{00000000-0005-0000-0000-0000415F0000}"/>
    <cellStyle name="Normal 294 2" xfId="24386" xr:uid="{00000000-0005-0000-0000-0000425F0000}"/>
    <cellStyle name="Normal 294 2 2" xfId="24387" xr:uid="{00000000-0005-0000-0000-0000435F0000}"/>
    <cellStyle name="Normal 294 2 2 2" xfId="24388" xr:uid="{00000000-0005-0000-0000-0000445F0000}"/>
    <cellStyle name="Normal 294 2 3" xfId="24389" xr:uid="{00000000-0005-0000-0000-0000455F0000}"/>
    <cellStyle name="Normal 294 2 3 2" xfId="24390" xr:uid="{00000000-0005-0000-0000-0000465F0000}"/>
    <cellStyle name="Normal 294 2 3 2 2" xfId="24391" xr:uid="{00000000-0005-0000-0000-0000475F0000}"/>
    <cellStyle name="Normal 294 2 3 3" xfId="24392" xr:uid="{00000000-0005-0000-0000-0000485F0000}"/>
    <cellStyle name="Normal 294 2 4" xfId="24393" xr:uid="{00000000-0005-0000-0000-0000495F0000}"/>
    <cellStyle name="Normal 294 2 4 2" xfId="24394" xr:uid="{00000000-0005-0000-0000-00004A5F0000}"/>
    <cellStyle name="Normal 294 2 4 2 2" xfId="24395" xr:uid="{00000000-0005-0000-0000-00004B5F0000}"/>
    <cellStyle name="Normal 294 2 4 3" xfId="24396" xr:uid="{00000000-0005-0000-0000-00004C5F0000}"/>
    <cellStyle name="Normal 294 2 5" xfId="24397" xr:uid="{00000000-0005-0000-0000-00004D5F0000}"/>
    <cellStyle name="Normal 294 3" xfId="24398" xr:uid="{00000000-0005-0000-0000-00004E5F0000}"/>
    <cellStyle name="Normal 294 3 2" xfId="24399" xr:uid="{00000000-0005-0000-0000-00004F5F0000}"/>
    <cellStyle name="Normal 294 3 2 2" xfId="24400" xr:uid="{00000000-0005-0000-0000-0000505F0000}"/>
    <cellStyle name="Normal 294 3 2 2 2" xfId="24401" xr:uid="{00000000-0005-0000-0000-0000515F0000}"/>
    <cellStyle name="Normal 294 3 2 3" xfId="24402" xr:uid="{00000000-0005-0000-0000-0000525F0000}"/>
    <cellStyle name="Normal 294 3 2 3 2" xfId="24403" xr:uid="{00000000-0005-0000-0000-0000535F0000}"/>
    <cellStyle name="Normal 294 3 2 3 2 2" xfId="24404" xr:uid="{00000000-0005-0000-0000-0000545F0000}"/>
    <cellStyle name="Normal 294 3 2 3 3" xfId="24405" xr:uid="{00000000-0005-0000-0000-0000555F0000}"/>
    <cellStyle name="Normal 294 3 2 4" xfId="24406" xr:uid="{00000000-0005-0000-0000-0000565F0000}"/>
    <cellStyle name="Normal 294 3 3" xfId="24407" xr:uid="{00000000-0005-0000-0000-0000575F0000}"/>
    <cellStyle name="Normal 294 3 3 2" xfId="24408" xr:uid="{00000000-0005-0000-0000-0000585F0000}"/>
    <cellStyle name="Normal 294 3 3 2 2" xfId="24409" xr:uid="{00000000-0005-0000-0000-0000595F0000}"/>
    <cellStyle name="Normal 294 3 3 3" xfId="24410" xr:uid="{00000000-0005-0000-0000-00005A5F0000}"/>
    <cellStyle name="Normal 294 3 4" xfId="24411" xr:uid="{00000000-0005-0000-0000-00005B5F0000}"/>
    <cellStyle name="Normal 294 3 4 2" xfId="24412" xr:uid="{00000000-0005-0000-0000-00005C5F0000}"/>
    <cellStyle name="Normal 294 3 4 2 2" xfId="24413" xr:uid="{00000000-0005-0000-0000-00005D5F0000}"/>
    <cellStyle name="Normal 294 3 4 3" xfId="24414" xr:uid="{00000000-0005-0000-0000-00005E5F0000}"/>
    <cellStyle name="Normal 294 3 5" xfId="24415" xr:uid="{00000000-0005-0000-0000-00005F5F0000}"/>
    <cellStyle name="Normal 294 3 5 2" xfId="24416" xr:uid="{00000000-0005-0000-0000-0000605F0000}"/>
    <cellStyle name="Normal 294 3 5 2 2" xfId="24417" xr:uid="{00000000-0005-0000-0000-0000615F0000}"/>
    <cellStyle name="Normal 294 3 5 3" xfId="24418" xr:uid="{00000000-0005-0000-0000-0000625F0000}"/>
    <cellStyle name="Normal 294 3 6" xfId="24419" xr:uid="{00000000-0005-0000-0000-0000635F0000}"/>
    <cellStyle name="Normal 294 4" xfId="24420" xr:uid="{00000000-0005-0000-0000-0000645F0000}"/>
    <cellStyle name="Normal 294 4 2" xfId="24421" xr:uid="{00000000-0005-0000-0000-0000655F0000}"/>
    <cellStyle name="Normal 294 4 2 2" xfId="24422" xr:uid="{00000000-0005-0000-0000-0000665F0000}"/>
    <cellStyle name="Normal 294 4 3" xfId="24423" xr:uid="{00000000-0005-0000-0000-0000675F0000}"/>
    <cellStyle name="Normal 294 5" xfId="24424" xr:uid="{00000000-0005-0000-0000-0000685F0000}"/>
    <cellStyle name="Normal 294 5 2" xfId="24425" xr:uid="{00000000-0005-0000-0000-0000695F0000}"/>
    <cellStyle name="Normal 294 5 2 2" xfId="24426" xr:uid="{00000000-0005-0000-0000-00006A5F0000}"/>
    <cellStyle name="Normal 294 5 3" xfId="24427" xr:uid="{00000000-0005-0000-0000-00006B5F0000}"/>
    <cellStyle name="Normal 294 6" xfId="24428" xr:uid="{00000000-0005-0000-0000-00006C5F0000}"/>
    <cellStyle name="Normal 294 6 2" xfId="24429" xr:uid="{00000000-0005-0000-0000-00006D5F0000}"/>
    <cellStyle name="Normal 294 6 2 2" xfId="24430" xr:uid="{00000000-0005-0000-0000-00006E5F0000}"/>
    <cellStyle name="Normal 294 6 3" xfId="24431" xr:uid="{00000000-0005-0000-0000-00006F5F0000}"/>
    <cellStyle name="Normal 294 7" xfId="24432" xr:uid="{00000000-0005-0000-0000-0000705F0000}"/>
    <cellStyle name="Normal 295" xfId="24433" xr:uid="{00000000-0005-0000-0000-0000715F0000}"/>
    <cellStyle name="Normal 295 2" xfId="24434" xr:uid="{00000000-0005-0000-0000-0000725F0000}"/>
    <cellStyle name="Normal 295 2 2" xfId="24435" xr:uid="{00000000-0005-0000-0000-0000735F0000}"/>
    <cellStyle name="Normal 295 2 2 2" xfId="24436" xr:uid="{00000000-0005-0000-0000-0000745F0000}"/>
    <cellStyle name="Normal 295 2 3" xfId="24437" xr:uid="{00000000-0005-0000-0000-0000755F0000}"/>
    <cellStyle name="Normal 295 2 3 2" xfId="24438" xr:uid="{00000000-0005-0000-0000-0000765F0000}"/>
    <cellStyle name="Normal 295 2 3 2 2" xfId="24439" xr:uid="{00000000-0005-0000-0000-0000775F0000}"/>
    <cellStyle name="Normal 295 2 3 3" xfId="24440" xr:uid="{00000000-0005-0000-0000-0000785F0000}"/>
    <cellStyle name="Normal 295 2 4" xfId="24441" xr:uid="{00000000-0005-0000-0000-0000795F0000}"/>
    <cellStyle name="Normal 295 2 4 2" xfId="24442" xr:uid="{00000000-0005-0000-0000-00007A5F0000}"/>
    <cellStyle name="Normal 295 2 4 2 2" xfId="24443" xr:uid="{00000000-0005-0000-0000-00007B5F0000}"/>
    <cellStyle name="Normal 295 2 4 3" xfId="24444" xr:uid="{00000000-0005-0000-0000-00007C5F0000}"/>
    <cellStyle name="Normal 295 2 5" xfId="24445" xr:uid="{00000000-0005-0000-0000-00007D5F0000}"/>
    <cellStyle name="Normal 295 3" xfId="24446" xr:uid="{00000000-0005-0000-0000-00007E5F0000}"/>
    <cellStyle name="Normal 295 3 2" xfId="24447" xr:uid="{00000000-0005-0000-0000-00007F5F0000}"/>
    <cellStyle name="Normal 295 3 2 2" xfId="24448" xr:uid="{00000000-0005-0000-0000-0000805F0000}"/>
    <cellStyle name="Normal 295 3 2 2 2" xfId="24449" xr:uid="{00000000-0005-0000-0000-0000815F0000}"/>
    <cellStyle name="Normal 295 3 2 3" xfId="24450" xr:uid="{00000000-0005-0000-0000-0000825F0000}"/>
    <cellStyle name="Normal 295 3 2 3 2" xfId="24451" xr:uid="{00000000-0005-0000-0000-0000835F0000}"/>
    <cellStyle name="Normal 295 3 2 3 2 2" xfId="24452" xr:uid="{00000000-0005-0000-0000-0000845F0000}"/>
    <cellStyle name="Normal 295 3 2 3 3" xfId="24453" xr:uid="{00000000-0005-0000-0000-0000855F0000}"/>
    <cellStyle name="Normal 295 3 2 4" xfId="24454" xr:uid="{00000000-0005-0000-0000-0000865F0000}"/>
    <cellStyle name="Normal 295 3 3" xfId="24455" xr:uid="{00000000-0005-0000-0000-0000875F0000}"/>
    <cellStyle name="Normal 295 3 3 2" xfId="24456" xr:uid="{00000000-0005-0000-0000-0000885F0000}"/>
    <cellStyle name="Normal 295 3 3 2 2" xfId="24457" xr:uid="{00000000-0005-0000-0000-0000895F0000}"/>
    <cellStyle name="Normal 295 3 3 3" xfId="24458" xr:uid="{00000000-0005-0000-0000-00008A5F0000}"/>
    <cellStyle name="Normal 295 3 4" xfId="24459" xr:uid="{00000000-0005-0000-0000-00008B5F0000}"/>
    <cellStyle name="Normal 295 3 4 2" xfId="24460" xr:uid="{00000000-0005-0000-0000-00008C5F0000}"/>
    <cellStyle name="Normal 295 3 4 2 2" xfId="24461" xr:uid="{00000000-0005-0000-0000-00008D5F0000}"/>
    <cellStyle name="Normal 295 3 4 3" xfId="24462" xr:uid="{00000000-0005-0000-0000-00008E5F0000}"/>
    <cellStyle name="Normal 295 3 5" xfId="24463" xr:uid="{00000000-0005-0000-0000-00008F5F0000}"/>
    <cellStyle name="Normal 295 3 5 2" xfId="24464" xr:uid="{00000000-0005-0000-0000-0000905F0000}"/>
    <cellStyle name="Normal 295 3 5 2 2" xfId="24465" xr:uid="{00000000-0005-0000-0000-0000915F0000}"/>
    <cellStyle name="Normal 295 3 5 3" xfId="24466" xr:uid="{00000000-0005-0000-0000-0000925F0000}"/>
    <cellStyle name="Normal 295 3 6" xfId="24467" xr:uid="{00000000-0005-0000-0000-0000935F0000}"/>
    <cellStyle name="Normal 295 4" xfId="24468" xr:uid="{00000000-0005-0000-0000-0000945F0000}"/>
    <cellStyle name="Normal 295 4 2" xfId="24469" xr:uid="{00000000-0005-0000-0000-0000955F0000}"/>
    <cellStyle name="Normal 295 4 2 2" xfId="24470" xr:uid="{00000000-0005-0000-0000-0000965F0000}"/>
    <cellStyle name="Normal 295 4 3" xfId="24471" xr:uid="{00000000-0005-0000-0000-0000975F0000}"/>
    <cellStyle name="Normal 295 5" xfId="24472" xr:uid="{00000000-0005-0000-0000-0000985F0000}"/>
    <cellStyle name="Normal 295 5 2" xfId="24473" xr:uid="{00000000-0005-0000-0000-0000995F0000}"/>
    <cellStyle name="Normal 295 5 2 2" xfId="24474" xr:uid="{00000000-0005-0000-0000-00009A5F0000}"/>
    <cellStyle name="Normal 295 5 3" xfId="24475" xr:uid="{00000000-0005-0000-0000-00009B5F0000}"/>
    <cellStyle name="Normal 295 6" xfId="24476" xr:uid="{00000000-0005-0000-0000-00009C5F0000}"/>
    <cellStyle name="Normal 295 6 2" xfId="24477" xr:uid="{00000000-0005-0000-0000-00009D5F0000}"/>
    <cellStyle name="Normal 295 6 2 2" xfId="24478" xr:uid="{00000000-0005-0000-0000-00009E5F0000}"/>
    <cellStyle name="Normal 295 6 3" xfId="24479" xr:uid="{00000000-0005-0000-0000-00009F5F0000}"/>
    <cellStyle name="Normal 295 7" xfId="24480" xr:uid="{00000000-0005-0000-0000-0000A05F0000}"/>
    <cellStyle name="Normal 296" xfId="24481" xr:uid="{00000000-0005-0000-0000-0000A15F0000}"/>
    <cellStyle name="Normal 296 2" xfId="24482" xr:uid="{00000000-0005-0000-0000-0000A25F0000}"/>
    <cellStyle name="Normal 296 2 2" xfId="24483" xr:uid="{00000000-0005-0000-0000-0000A35F0000}"/>
    <cellStyle name="Normal 296 2 2 2" xfId="24484" xr:uid="{00000000-0005-0000-0000-0000A45F0000}"/>
    <cellStyle name="Normal 296 2 3" xfId="24485" xr:uid="{00000000-0005-0000-0000-0000A55F0000}"/>
    <cellStyle name="Normal 296 2 3 2" xfId="24486" xr:uid="{00000000-0005-0000-0000-0000A65F0000}"/>
    <cellStyle name="Normal 296 2 3 2 2" xfId="24487" xr:uid="{00000000-0005-0000-0000-0000A75F0000}"/>
    <cellStyle name="Normal 296 2 3 3" xfId="24488" xr:uid="{00000000-0005-0000-0000-0000A85F0000}"/>
    <cellStyle name="Normal 296 2 4" xfId="24489" xr:uid="{00000000-0005-0000-0000-0000A95F0000}"/>
    <cellStyle name="Normal 296 2 4 2" xfId="24490" xr:uid="{00000000-0005-0000-0000-0000AA5F0000}"/>
    <cellStyle name="Normal 296 2 4 2 2" xfId="24491" xr:uid="{00000000-0005-0000-0000-0000AB5F0000}"/>
    <cellStyle name="Normal 296 2 4 3" xfId="24492" xr:uid="{00000000-0005-0000-0000-0000AC5F0000}"/>
    <cellStyle name="Normal 296 2 5" xfId="24493" xr:uid="{00000000-0005-0000-0000-0000AD5F0000}"/>
    <cellStyle name="Normal 296 3" xfId="24494" xr:uid="{00000000-0005-0000-0000-0000AE5F0000}"/>
    <cellStyle name="Normal 296 3 2" xfId="24495" xr:uid="{00000000-0005-0000-0000-0000AF5F0000}"/>
    <cellStyle name="Normal 296 3 2 2" xfId="24496" xr:uid="{00000000-0005-0000-0000-0000B05F0000}"/>
    <cellStyle name="Normal 296 3 2 2 2" xfId="24497" xr:uid="{00000000-0005-0000-0000-0000B15F0000}"/>
    <cellStyle name="Normal 296 3 2 3" xfId="24498" xr:uid="{00000000-0005-0000-0000-0000B25F0000}"/>
    <cellStyle name="Normal 296 3 2 3 2" xfId="24499" xr:uid="{00000000-0005-0000-0000-0000B35F0000}"/>
    <cellStyle name="Normal 296 3 2 3 2 2" xfId="24500" xr:uid="{00000000-0005-0000-0000-0000B45F0000}"/>
    <cellStyle name="Normal 296 3 2 3 3" xfId="24501" xr:uid="{00000000-0005-0000-0000-0000B55F0000}"/>
    <cellStyle name="Normal 296 3 2 4" xfId="24502" xr:uid="{00000000-0005-0000-0000-0000B65F0000}"/>
    <cellStyle name="Normal 296 3 3" xfId="24503" xr:uid="{00000000-0005-0000-0000-0000B75F0000}"/>
    <cellStyle name="Normal 296 3 3 2" xfId="24504" xr:uid="{00000000-0005-0000-0000-0000B85F0000}"/>
    <cellStyle name="Normal 296 3 3 2 2" xfId="24505" xr:uid="{00000000-0005-0000-0000-0000B95F0000}"/>
    <cellStyle name="Normal 296 3 3 3" xfId="24506" xr:uid="{00000000-0005-0000-0000-0000BA5F0000}"/>
    <cellStyle name="Normal 296 3 4" xfId="24507" xr:uid="{00000000-0005-0000-0000-0000BB5F0000}"/>
    <cellStyle name="Normal 296 3 4 2" xfId="24508" xr:uid="{00000000-0005-0000-0000-0000BC5F0000}"/>
    <cellStyle name="Normal 296 3 4 2 2" xfId="24509" xr:uid="{00000000-0005-0000-0000-0000BD5F0000}"/>
    <cellStyle name="Normal 296 3 4 3" xfId="24510" xr:uid="{00000000-0005-0000-0000-0000BE5F0000}"/>
    <cellStyle name="Normal 296 3 5" xfId="24511" xr:uid="{00000000-0005-0000-0000-0000BF5F0000}"/>
    <cellStyle name="Normal 296 3 5 2" xfId="24512" xr:uid="{00000000-0005-0000-0000-0000C05F0000}"/>
    <cellStyle name="Normal 296 3 5 2 2" xfId="24513" xr:uid="{00000000-0005-0000-0000-0000C15F0000}"/>
    <cellStyle name="Normal 296 3 5 3" xfId="24514" xr:uid="{00000000-0005-0000-0000-0000C25F0000}"/>
    <cellStyle name="Normal 296 3 6" xfId="24515" xr:uid="{00000000-0005-0000-0000-0000C35F0000}"/>
    <cellStyle name="Normal 296 4" xfId="24516" xr:uid="{00000000-0005-0000-0000-0000C45F0000}"/>
    <cellStyle name="Normal 296 4 2" xfId="24517" xr:uid="{00000000-0005-0000-0000-0000C55F0000}"/>
    <cellStyle name="Normal 296 4 2 2" xfId="24518" xr:uid="{00000000-0005-0000-0000-0000C65F0000}"/>
    <cellStyle name="Normal 296 4 3" xfId="24519" xr:uid="{00000000-0005-0000-0000-0000C75F0000}"/>
    <cellStyle name="Normal 296 5" xfId="24520" xr:uid="{00000000-0005-0000-0000-0000C85F0000}"/>
    <cellStyle name="Normal 296 5 2" xfId="24521" xr:uid="{00000000-0005-0000-0000-0000C95F0000}"/>
    <cellStyle name="Normal 296 5 2 2" xfId="24522" xr:uid="{00000000-0005-0000-0000-0000CA5F0000}"/>
    <cellStyle name="Normal 296 5 3" xfId="24523" xr:uid="{00000000-0005-0000-0000-0000CB5F0000}"/>
    <cellStyle name="Normal 296 6" xfId="24524" xr:uid="{00000000-0005-0000-0000-0000CC5F0000}"/>
    <cellStyle name="Normal 296 6 2" xfId="24525" xr:uid="{00000000-0005-0000-0000-0000CD5F0000}"/>
    <cellStyle name="Normal 296 6 2 2" xfId="24526" xr:uid="{00000000-0005-0000-0000-0000CE5F0000}"/>
    <cellStyle name="Normal 296 6 3" xfId="24527" xr:uid="{00000000-0005-0000-0000-0000CF5F0000}"/>
    <cellStyle name="Normal 296 7" xfId="24528" xr:uid="{00000000-0005-0000-0000-0000D05F0000}"/>
    <cellStyle name="Normal 297" xfId="24529" xr:uid="{00000000-0005-0000-0000-0000D15F0000}"/>
    <cellStyle name="Normal 297 2" xfId="24530" xr:uid="{00000000-0005-0000-0000-0000D25F0000}"/>
    <cellStyle name="Normal 297 2 2" xfId="24531" xr:uid="{00000000-0005-0000-0000-0000D35F0000}"/>
    <cellStyle name="Normal 297 2 2 2" xfId="24532" xr:uid="{00000000-0005-0000-0000-0000D45F0000}"/>
    <cellStyle name="Normal 297 2 3" xfId="24533" xr:uid="{00000000-0005-0000-0000-0000D55F0000}"/>
    <cellStyle name="Normal 297 2 3 2" xfId="24534" xr:uid="{00000000-0005-0000-0000-0000D65F0000}"/>
    <cellStyle name="Normal 297 2 3 2 2" xfId="24535" xr:uid="{00000000-0005-0000-0000-0000D75F0000}"/>
    <cellStyle name="Normal 297 2 3 3" xfId="24536" xr:uid="{00000000-0005-0000-0000-0000D85F0000}"/>
    <cellStyle name="Normal 297 2 4" xfId="24537" xr:uid="{00000000-0005-0000-0000-0000D95F0000}"/>
    <cellStyle name="Normal 297 2 4 2" xfId="24538" xr:uid="{00000000-0005-0000-0000-0000DA5F0000}"/>
    <cellStyle name="Normal 297 2 4 2 2" xfId="24539" xr:uid="{00000000-0005-0000-0000-0000DB5F0000}"/>
    <cellStyle name="Normal 297 2 4 3" xfId="24540" xr:uid="{00000000-0005-0000-0000-0000DC5F0000}"/>
    <cellStyle name="Normal 297 2 5" xfId="24541" xr:uid="{00000000-0005-0000-0000-0000DD5F0000}"/>
    <cellStyle name="Normal 297 3" xfId="24542" xr:uid="{00000000-0005-0000-0000-0000DE5F0000}"/>
    <cellStyle name="Normal 297 3 2" xfId="24543" xr:uid="{00000000-0005-0000-0000-0000DF5F0000}"/>
    <cellStyle name="Normal 297 3 2 2" xfId="24544" xr:uid="{00000000-0005-0000-0000-0000E05F0000}"/>
    <cellStyle name="Normal 297 3 2 2 2" xfId="24545" xr:uid="{00000000-0005-0000-0000-0000E15F0000}"/>
    <cellStyle name="Normal 297 3 2 3" xfId="24546" xr:uid="{00000000-0005-0000-0000-0000E25F0000}"/>
    <cellStyle name="Normal 297 3 2 3 2" xfId="24547" xr:uid="{00000000-0005-0000-0000-0000E35F0000}"/>
    <cellStyle name="Normal 297 3 2 3 2 2" xfId="24548" xr:uid="{00000000-0005-0000-0000-0000E45F0000}"/>
    <cellStyle name="Normal 297 3 2 3 3" xfId="24549" xr:uid="{00000000-0005-0000-0000-0000E55F0000}"/>
    <cellStyle name="Normal 297 3 2 4" xfId="24550" xr:uid="{00000000-0005-0000-0000-0000E65F0000}"/>
    <cellStyle name="Normal 297 3 3" xfId="24551" xr:uid="{00000000-0005-0000-0000-0000E75F0000}"/>
    <cellStyle name="Normal 297 3 3 2" xfId="24552" xr:uid="{00000000-0005-0000-0000-0000E85F0000}"/>
    <cellStyle name="Normal 297 3 3 2 2" xfId="24553" xr:uid="{00000000-0005-0000-0000-0000E95F0000}"/>
    <cellStyle name="Normal 297 3 3 3" xfId="24554" xr:uid="{00000000-0005-0000-0000-0000EA5F0000}"/>
    <cellStyle name="Normal 297 3 4" xfId="24555" xr:uid="{00000000-0005-0000-0000-0000EB5F0000}"/>
    <cellStyle name="Normal 297 3 4 2" xfId="24556" xr:uid="{00000000-0005-0000-0000-0000EC5F0000}"/>
    <cellStyle name="Normal 297 3 4 2 2" xfId="24557" xr:uid="{00000000-0005-0000-0000-0000ED5F0000}"/>
    <cellStyle name="Normal 297 3 4 3" xfId="24558" xr:uid="{00000000-0005-0000-0000-0000EE5F0000}"/>
    <cellStyle name="Normal 297 3 5" xfId="24559" xr:uid="{00000000-0005-0000-0000-0000EF5F0000}"/>
    <cellStyle name="Normal 297 3 5 2" xfId="24560" xr:uid="{00000000-0005-0000-0000-0000F05F0000}"/>
    <cellStyle name="Normal 297 3 5 2 2" xfId="24561" xr:uid="{00000000-0005-0000-0000-0000F15F0000}"/>
    <cellStyle name="Normal 297 3 5 3" xfId="24562" xr:uid="{00000000-0005-0000-0000-0000F25F0000}"/>
    <cellStyle name="Normal 297 3 6" xfId="24563" xr:uid="{00000000-0005-0000-0000-0000F35F0000}"/>
    <cellStyle name="Normal 297 4" xfId="24564" xr:uid="{00000000-0005-0000-0000-0000F45F0000}"/>
    <cellStyle name="Normal 297 4 2" xfId="24565" xr:uid="{00000000-0005-0000-0000-0000F55F0000}"/>
    <cellStyle name="Normal 297 4 2 2" xfId="24566" xr:uid="{00000000-0005-0000-0000-0000F65F0000}"/>
    <cellStyle name="Normal 297 4 3" xfId="24567" xr:uid="{00000000-0005-0000-0000-0000F75F0000}"/>
    <cellStyle name="Normal 297 5" xfId="24568" xr:uid="{00000000-0005-0000-0000-0000F85F0000}"/>
    <cellStyle name="Normal 297 5 2" xfId="24569" xr:uid="{00000000-0005-0000-0000-0000F95F0000}"/>
    <cellStyle name="Normal 297 5 2 2" xfId="24570" xr:uid="{00000000-0005-0000-0000-0000FA5F0000}"/>
    <cellStyle name="Normal 297 5 3" xfId="24571" xr:uid="{00000000-0005-0000-0000-0000FB5F0000}"/>
    <cellStyle name="Normal 297 6" xfId="24572" xr:uid="{00000000-0005-0000-0000-0000FC5F0000}"/>
    <cellStyle name="Normal 297 6 2" xfId="24573" xr:uid="{00000000-0005-0000-0000-0000FD5F0000}"/>
    <cellStyle name="Normal 297 6 2 2" xfId="24574" xr:uid="{00000000-0005-0000-0000-0000FE5F0000}"/>
    <cellStyle name="Normal 297 6 3" xfId="24575" xr:uid="{00000000-0005-0000-0000-0000FF5F0000}"/>
    <cellStyle name="Normal 297 7" xfId="24576" xr:uid="{00000000-0005-0000-0000-000000600000}"/>
    <cellStyle name="Normal 298" xfId="24577" xr:uid="{00000000-0005-0000-0000-000001600000}"/>
    <cellStyle name="Normal 298 2" xfId="24578" xr:uid="{00000000-0005-0000-0000-000002600000}"/>
    <cellStyle name="Normal 298 2 2" xfId="24579" xr:uid="{00000000-0005-0000-0000-000003600000}"/>
    <cellStyle name="Normal 298 2 2 2" xfId="24580" xr:uid="{00000000-0005-0000-0000-000004600000}"/>
    <cellStyle name="Normal 298 2 3" xfId="24581" xr:uid="{00000000-0005-0000-0000-000005600000}"/>
    <cellStyle name="Normal 298 2 3 2" xfId="24582" xr:uid="{00000000-0005-0000-0000-000006600000}"/>
    <cellStyle name="Normal 298 2 3 2 2" xfId="24583" xr:uid="{00000000-0005-0000-0000-000007600000}"/>
    <cellStyle name="Normal 298 2 3 3" xfId="24584" xr:uid="{00000000-0005-0000-0000-000008600000}"/>
    <cellStyle name="Normal 298 2 4" xfId="24585" xr:uid="{00000000-0005-0000-0000-000009600000}"/>
    <cellStyle name="Normal 298 2 4 2" xfId="24586" xr:uid="{00000000-0005-0000-0000-00000A600000}"/>
    <cellStyle name="Normal 298 2 4 2 2" xfId="24587" xr:uid="{00000000-0005-0000-0000-00000B600000}"/>
    <cellStyle name="Normal 298 2 4 3" xfId="24588" xr:uid="{00000000-0005-0000-0000-00000C600000}"/>
    <cellStyle name="Normal 298 2 5" xfId="24589" xr:uid="{00000000-0005-0000-0000-00000D600000}"/>
    <cellStyle name="Normal 298 3" xfId="24590" xr:uid="{00000000-0005-0000-0000-00000E600000}"/>
    <cellStyle name="Normal 298 3 2" xfId="24591" xr:uid="{00000000-0005-0000-0000-00000F600000}"/>
    <cellStyle name="Normal 298 3 2 2" xfId="24592" xr:uid="{00000000-0005-0000-0000-000010600000}"/>
    <cellStyle name="Normal 298 3 2 2 2" xfId="24593" xr:uid="{00000000-0005-0000-0000-000011600000}"/>
    <cellStyle name="Normal 298 3 2 3" xfId="24594" xr:uid="{00000000-0005-0000-0000-000012600000}"/>
    <cellStyle name="Normal 298 3 2 3 2" xfId="24595" xr:uid="{00000000-0005-0000-0000-000013600000}"/>
    <cellStyle name="Normal 298 3 2 3 2 2" xfId="24596" xr:uid="{00000000-0005-0000-0000-000014600000}"/>
    <cellStyle name="Normal 298 3 2 3 3" xfId="24597" xr:uid="{00000000-0005-0000-0000-000015600000}"/>
    <cellStyle name="Normal 298 3 2 4" xfId="24598" xr:uid="{00000000-0005-0000-0000-000016600000}"/>
    <cellStyle name="Normal 298 3 3" xfId="24599" xr:uid="{00000000-0005-0000-0000-000017600000}"/>
    <cellStyle name="Normal 298 3 3 2" xfId="24600" xr:uid="{00000000-0005-0000-0000-000018600000}"/>
    <cellStyle name="Normal 298 3 3 2 2" xfId="24601" xr:uid="{00000000-0005-0000-0000-000019600000}"/>
    <cellStyle name="Normal 298 3 3 3" xfId="24602" xr:uid="{00000000-0005-0000-0000-00001A600000}"/>
    <cellStyle name="Normal 298 3 4" xfId="24603" xr:uid="{00000000-0005-0000-0000-00001B600000}"/>
    <cellStyle name="Normal 298 3 4 2" xfId="24604" xr:uid="{00000000-0005-0000-0000-00001C600000}"/>
    <cellStyle name="Normal 298 3 4 2 2" xfId="24605" xr:uid="{00000000-0005-0000-0000-00001D600000}"/>
    <cellStyle name="Normal 298 3 4 3" xfId="24606" xr:uid="{00000000-0005-0000-0000-00001E600000}"/>
    <cellStyle name="Normal 298 3 5" xfId="24607" xr:uid="{00000000-0005-0000-0000-00001F600000}"/>
    <cellStyle name="Normal 298 3 5 2" xfId="24608" xr:uid="{00000000-0005-0000-0000-000020600000}"/>
    <cellStyle name="Normal 298 3 5 2 2" xfId="24609" xr:uid="{00000000-0005-0000-0000-000021600000}"/>
    <cellStyle name="Normal 298 3 5 3" xfId="24610" xr:uid="{00000000-0005-0000-0000-000022600000}"/>
    <cellStyle name="Normal 298 3 6" xfId="24611" xr:uid="{00000000-0005-0000-0000-000023600000}"/>
    <cellStyle name="Normal 298 4" xfId="24612" xr:uid="{00000000-0005-0000-0000-000024600000}"/>
    <cellStyle name="Normal 298 4 2" xfId="24613" xr:uid="{00000000-0005-0000-0000-000025600000}"/>
    <cellStyle name="Normal 298 4 2 2" xfId="24614" xr:uid="{00000000-0005-0000-0000-000026600000}"/>
    <cellStyle name="Normal 298 4 3" xfId="24615" xr:uid="{00000000-0005-0000-0000-000027600000}"/>
    <cellStyle name="Normal 298 5" xfId="24616" xr:uid="{00000000-0005-0000-0000-000028600000}"/>
    <cellStyle name="Normal 298 5 2" xfId="24617" xr:uid="{00000000-0005-0000-0000-000029600000}"/>
    <cellStyle name="Normal 298 5 2 2" xfId="24618" xr:uid="{00000000-0005-0000-0000-00002A600000}"/>
    <cellStyle name="Normal 298 5 3" xfId="24619" xr:uid="{00000000-0005-0000-0000-00002B600000}"/>
    <cellStyle name="Normal 298 6" xfId="24620" xr:uid="{00000000-0005-0000-0000-00002C600000}"/>
    <cellStyle name="Normal 298 6 2" xfId="24621" xr:uid="{00000000-0005-0000-0000-00002D600000}"/>
    <cellStyle name="Normal 298 6 2 2" xfId="24622" xr:uid="{00000000-0005-0000-0000-00002E600000}"/>
    <cellStyle name="Normal 298 6 3" xfId="24623" xr:uid="{00000000-0005-0000-0000-00002F600000}"/>
    <cellStyle name="Normal 298 7" xfId="24624" xr:uid="{00000000-0005-0000-0000-000030600000}"/>
    <cellStyle name="Normal 299" xfId="24625" xr:uid="{00000000-0005-0000-0000-000031600000}"/>
    <cellStyle name="Normal 299 2" xfId="24626" xr:uid="{00000000-0005-0000-0000-000032600000}"/>
    <cellStyle name="Normal 299 2 2" xfId="24627" xr:uid="{00000000-0005-0000-0000-000033600000}"/>
    <cellStyle name="Normal 299 2 2 2" xfId="24628" xr:uid="{00000000-0005-0000-0000-000034600000}"/>
    <cellStyle name="Normal 299 2 3" xfId="24629" xr:uid="{00000000-0005-0000-0000-000035600000}"/>
    <cellStyle name="Normal 299 2 3 2" xfId="24630" xr:uid="{00000000-0005-0000-0000-000036600000}"/>
    <cellStyle name="Normal 299 2 3 2 2" xfId="24631" xr:uid="{00000000-0005-0000-0000-000037600000}"/>
    <cellStyle name="Normal 299 2 3 3" xfId="24632" xr:uid="{00000000-0005-0000-0000-000038600000}"/>
    <cellStyle name="Normal 299 2 4" xfId="24633" xr:uid="{00000000-0005-0000-0000-000039600000}"/>
    <cellStyle name="Normal 299 2 4 2" xfId="24634" xr:uid="{00000000-0005-0000-0000-00003A600000}"/>
    <cellStyle name="Normal 299 2 4 2 2" xfId="24635" xr:uid="{00000000-0005-0000-0000-00003B600000}"/>
    <cellStyle name="Normal 299 2 4 3" xfId="24636" xr:uid="{00000000-0005-0000-0000-00003C600000}"/>
    <cellStyle name="Normal 299 2 5" xfId="24637" xr:uid="{00000000-0005-0000-0000-00003D600000}"/>
    <cellStyle name="Normal 299 3" xfId="24638" xr:uid="{00000000-0005-0000-0000-00003E600000}"/>
    <cellStyle name="Normal 299 3 2" xfId="24639" xr:uid="{00000000-0005-0000-0000-00003F600000}"/>
    <cellStyle name="Normal 299 3 2 2" xfId="24640" xr:uid="{00000000-0005-0000-0000-000040600000}"/>
    <cellStyle name="Normal 299 3 2 2 2" xfId="24641" xr:uid="{00000000-0005-0000-0000-000041600000}"/>
    <cellStyle name="Normal 299 3 2 3" xfId="24642" xr:uid="{00000000-0005-0000-0000-000042600000}"/>
    <cellStyle name="Normal 299 3 2 3 2" xfId="24643" xr:uid="{00000000-0005-0000-0000-000043600000}"/>
    <cellStyle name="Normal 299 3 2 3 2 2" xfId="24644" xr:uid="{00000000-0005-0000-0000-000044600000}"/>
    <cellStyle name="Normal 299 3 2 3 3" xfId="24645" xr:uid="{00000000-0005-0000-0000-000045600000}"/>
    <cellStyle name="Normal 299 3 2 4" xfId="24646" xr:uid="{00000000-0005-0000-0000-000046600000}"/>
    <cellStyle name="Normal 299 3 3" xfId="24647" xr:uid="{00000000-0005-0000-0000-000047600000}"/>
    <cellStyle name="Normal 299 3 3 2" xfId="24648" xr:uid="{00000000-0005-0000-0000-000048600000}"/>
    <cellStyle name="Normal 299 3 3 2 2" xfId="24649" xr:uid="{00000000-0005-0000-0000-000049600000}"/>
    <cellStyle name="Normal 299 3 3 3" xfId="24650" xr:uid="{00000000-0005-0000-0000-00004A600000}"/>
    <cellStyle name="Normal 299 3 4" xfId="24651" xr:uid="{00000000-0005-0000-0000-00004B600000}"/>
    <cellStyle name="Normal 299 3 4 2" xfId="24652" xr:uid="{00000000-0005-0000-0000-00004C600000}"/>
    <cellStyle name="Normal 299 3 4 2 2" xfId="24653" xr:uid="{00000000-0005-0000-0000-00004D600000}"/>
    <cellStyle name="Normal 299 3 4 3" xfId="24654" xr:uid="{00000000-0005-0000-0000-00004E600000}"/>
    <cellStyle name="Normal 299 3 5" xfId="24655" xr:uid="{00000000-0005-0000-0000-00004F600000}"/>
    <cellStyle name="Normal 299 3 5 2" xfId="24656" xr:uid="{00000000-0005-0000-0000-000050600000}"/>
    <cellStyle name="Normal 299 3 5 2 2" xfId="24657" xr:uid="{00000000-0005-0000-0000-000051600000}"/>
    <cellStyle name="Normal 299 3 5 3" xfId="24658" xr:uid="{00000000-0005-0000-0000-000052600000}"/>
    <cellStyle name="Normal 299 3 6" xfId="24659" xr:uid="{00000000-0005-0000-0000-000053600000}"/>
    <cellStyle name="Normal 299 4" xfId="24660" xr:uid="{00000000-0005-0000-0000-000054600000}"/>
    <cellStyle name="Normal 299 4 2" xfId="24661" xr:uid="{00000000-0005-0000-0000-000055600000}"/>
    <cellStyle name="Normal 299 4 2 2" xfId="24662" xr:uid="{00000000-0005-0000-0000-000056600000}"/>
    <cellStyle name="Normal 299 4 3" xfId="24663" xr:uid="{00000000-0005-0000-0000-000057600000}"/>
    <cellStyle name="Normal 299 5" xfId="24664" xr:uid="{00000000-0005-0000-0000-000058600000}"/>
    <cellStyle name="Normal 299 5 2" xfId="24665" xr:uid="{00000000-0005-0000-0000-000059600000}"/>
    <cellStyle name="Normal 299 5 2 2" xfId="24666" xr:uid="{00000000-0005-0000-0000-00005A600000}"/>
    <cellStyle name="Normal 299 5 3" xfId="24667" xr:uid="{00000000-0005-0000-0000-00005B600000}"/>
    <cellStyle name="Normal 299 6" xfId="24668" xr:uid="{00000000-0005-0000-0000-00005C600000}"/>
    <cellStyle name="Normal 299 6 2" xfId="24669" xr:uid="{00000000-0005-0000-0000-00005D600000}"/>
    <cellStyle name="Normal 299 6 2 2" xfId="24670" xr:uid="{00000000-0005-0000-0000-00005E600000}"/>
    <cellStyle name="Normal 299 6 3" xfId="24671" xr:uid="{00000000-0005-0000-0000-00005F600000}"/>
    <cellStyle name="Normal 299 7" xfId="24672" xr:uid="{00000000-0005-0000-0000-000060600000}"/>
    <cellStyle name="Normal 3" xfId="24673" xr:uid="{00000000-0005-0000-0000-000061600000}"/>
    <cellStyle name="Normal 3 10" xfId="24674" xr:uid="{00000000-0005-0000-0000-000062600000}"/>
    <cellStyle name="Normal 3 11" xfId="24675" xr:uid="{00000000-0005-0000-0000-000063600000}"/>
    <cellStyle name="Normal 3 12" xfId="24676" xr:uid="{00000000-0005-0000-0000-000064600000}"/>
    <cellStyle name="Normal 3 2" xfId="24677" xr:uid="{00000000-0005-0000-0000-000065600000}"/>
    <cellStyle name="Normal 3 2 2" xfId="24678" xr:uid="{00000000-0005-0000-0000-000066600000}"/>
    <cellStyle name="Normal 3 2 2 2" xfId="24679" xr:uid="{00000000-0005-0000-0000-000067600000}"/>
    <cellStyle name="Normal 3 2 2 2 2" xfId="24680" xr:uid="{00000000-0005-0000-0000-000068600000}"/>
    <cellStyle name="Normal 3 2 2 2 2 2" xfId="24681" xr:uid="{00000000-0005-0000-0000-000069600000}"/>
    <cellStyle name="Normal 3 2 2 2 3" xfId="24682" xr:uid="{00000000-0005-0000-0000-00006A600000}"/>
    <cellStyle name="Normal 3 2 2 2 3 2" xfId="24683" xr:uid="{00000000-0005-0000-0000-00006B600000}"/>
    <cellStyle name="Normal 3 2 2 2 3 2 2" xfId="24684" xr:uid="{00000000-0005-0000-0000-00006C600000}"/>
    <cellStyle name="Normal 3 2 2 2 3 3" xfId="24685" xr:uid="{00000000-0005-0000-0000-00006D600000}"/>
    <cellStyle name="Normal 3 2 2 2 4" xfId="24686" xr:uid="{00000000-0005-0000-0000-00006E600000}"/>
    <cellStyle name="Normal 3 2 2 2 4 2" xfId="24687" xr:uid="{00000000-0005-0000-0000-00006F600000}"/>
    <cellStyle name="Normal 3 2 2 2 4 2 2" xfId="24688" xr:uid="{00000000-0005-0000-0000-000070600000}"/>
    <cellStyle name="Normal 3 2 2 2 4 3" xfId="24689" xr:uid="{00000000-0005-0000-0000-000071600000}"/>
    <cellStyle name="Normal 3 2 2 2 5" xfId="24690" xr:uid="{00000000-0005-0000-0000-000072600000}"/>
    <cellStyle name="Normal 3 2 2 3" xfId="24691" xr:uid="{00000000-0005-0000-0000-000073600000}"/>
    <cellStyle name="Normal 3 2 2 3 2" xfId="24692" xr:uid="{00000000-0005-0000-0000-000074600000}"/>
    <cellStyle name="Normal 3 2 2 3 2 2" xfId="24693" xr:uid="{00000000-0005-0000-0000-000075600000}"/>
    <cellStyle name="Normal 3 2 2 3 2 2 2" xfId="24694" xr:uid="{00000000-0005-0000-0000-000076600000}"/>
    <cellStyle name="Normal 3 2 2 3 2 3" xfId="24695" xr:uid="{00000000-0005-0000-0000-000077600000}"/>
    <cellStyle name="Normal 3 2 2 3 2 3 2" xfId="24696" xr:uid="{00000000-0005-0000-0000-000078600000}"/>
    <cellStyle name="Normal 3 2 2 3 2 3 2 2" xfId="24697" xr:uid="{00000000-0005-0000-0000-000079600000}"/>
    <cellStyle name="Normal 3 2 2 3 2 3 3" xfId="24698" xr:uid="{00000000-0005-0000-0000-00007A600000}"/>
    <cellStyle name="Normal 3 2 2 3 2 4" xfId="24699" xr:uid="{00000000-0005-0000-0000-00007B600000}"/>
    <cellStyle name="Normal 3 2 2 3 3" xfId="24700" xr:uid="{00000000-0005-0000-0000-00007C600000}"/>
    <cellStyle name="Normal 3 2 2 3 3 2" xfId="24701" xr:uid="{00000000-0005-0000-0000-00007D600000}"/>
    <cellStyle name="Normal 3 2 2 3 3 2 2" xfId="24702" xr:uid="{00000000-0005-0000-0000-00007E600000}"/>
    <cellStyle name="Normal 3 2 2 3 3 3" xfId="24703" xr:uid="{00000000-0005-0000-0000-00007F600000}"/>
    <cellStyle name="Normal 3 2 2 3 4" xfId="24704" xr:uid="{00000000-0005-0000-0000-000080600000}"/>
    <cellStyle name="Normal 3 2 2 3 4 2" xfId="24705" xr:uid="{00000000-0005-0000-0000-000081600000}"/>
    <cellStyle name="Normal 3 2 2 3 4 2 2" xfId="24706" xr:uid="{00000000-0005-0000-0000-000082600000}"/>
    <cellStyle name="Normal 3 2 2 3 4 3" xfId="24707" xr:uid="{00000000-0005-0000-0000-000083600000}"/>
    <cellStyle name="Normal 3 2 2 3 5" xfId="24708" xr:uid="{00000000-0005-0000-0000-000084600000}"/>
    <cellStyle name="Normal 3 2 2 3 5 2" xfId="24709" xr:uid="{00000000-0005-0000-0000-000085600000}"/>
    <cellStyle name="Normal 3 2 2 3 5 2 2" xfId="24710" xr:uid="{00000000-0005-0000-0000-000086600000}"/>
    <cellStyle name="Normal 3 2 2 3 5 3" xfId="24711" xr:uid="{00000000-0005-0000-0000-000087600000}"/>
    <cellStyle name="Normal 3 2 2 3 6" xfId="24712" xr:uid="{00000000-0005-0000-0000-000088600000}"/>
    <cellStyle name="Normal 3 2 2 4" xfId="24713" xr:uid="{00000000-0005-0000-0000-000089600000}"/>
    <cellStyle name="Normal 3 2 2 5" xfId="24714" xr:uid="{00000000-0005-0000-0000-00008A600000}"/>
    <cellStyle name="Normal 3 2 3" xfId="24715" xr:uid="{00000000-0005-0000-0000-00008B600000}"/>
    <cellStyle name="Normal 3 2 3 2" xfId="24716" xr:uid="{00000000-0005-0000-0000-00008C600000}"/>
    <cellStyle name="Normal 3 2 3 2 2" xfId="24717" xr:uid="{00000000-0005-0000-0000-00008D600000}"/>
    <cellStyle name="Normal 3 2 3 3" xfId="24718" xr:uid="{00000000-0005-0000-0000-00008E600000}"/>
    <cellStyle name="Normal 3 2 3 3 2" xfId="24719" xr:uid="{00000000-0005-0000-0000-00008F600000}"/>
    <cellStyle name="Normal 3 2 3 3 2 2" xfId="24720" xr:uid="{00000000-0005-0000-0000-000090600000}"/>
    <cellStyle name="Normal 3 2 3 3 3" xfId="24721" xr:uid="{00000000-0005-0000-0000-000091600000}"/>
    <cellStyle name="Normal 3 2 3 4" xfId="24722" xr:uid="{00000000-0005-0000-0000-000092600000}"/>
    <cellStyle name="Normal 3 2 3 4 2" xfId="24723" xr:uid="{00000000-0005-0000-0000-000093600000}"/>
    <cellStyle name="Normal 3 2 3 4 2 2" xfId="24724" xr:uid="{00000000-0005-0000-0000-000094600000}"/>
    <cellStyle name="Normal 3 2 3 4 3" xfId="24725" xr:uid="{00000000-0005-0000-0000-000095600000}"/>
    <cellStyle name="Normal 3 2 3 5" xfId="24726" xr:uid="{00000000-0005-0000-0000-000096600000}"/>
    <cellStyle name="Normal 3 2 4" xfId="24727" xr:uid="{00000000-0005-0000-0000-000097600000}"/>
    <cellStyle name="Normal 3 2 4 2" xfId="24728" xr:uid="{00000000-0005-0000-0000-000098600000}"/>
    <cellStyle name="Normal 3 2 4 2 2" xfId="24729" xr:uid="{00000000-0005-0000-0000-000099600000}"/>
    <cellStyle name="Normal 3 2 4 2 2 2" xfId="24730" xr:uid="{00000000-0005-0000-0000-00009A600000}"/>
    <cellStyle name="Normal 3 2 4 2 3" xfId="24731" xr:uid="{00000000-0005-0000-0000-00009B600000}"/>
    <cellStyle name="Normal 3 2 4 2 3 2" xfId="24732" xr:uid="{00000000-0005-0000-0000-00009C600000}"/>
    <cellStyle name="Normal 3 2 4 2 3 2 2" xfId="24733" xr:uid="{00000000-0005-0000-0000-00009D600000}"/>
    <cellStyle name="Normal 3 2 4 2 3 3" xfId="24734" xr:uid="{00000000-0005-0000-0000-00009E600000}"/>
    <cellStyle name="Normal 3 2 4 2 4" xfId="24735" xr:uid="{00000000-0005-0000-0000-00009F600000}"/>
    <cellStyle name="Normal 3 2 4 3" xfId="24736" xr:uid="{00000000-0005-0000-0000-0000A0600000}"/>
    <cellStyle name="Normal 3 2 4 3 2" xfId="24737" xr:uid="{00000000-0005-0000-0000-0000A1600000}"/>
    <cellStyle name="Normal 3 2 4 3 2 2" xfId="24738" xr:uid="{00000000-0005-0000-0000-0000A2600000}"/>
    <cellStyle name="Normal 3 2 4 3 3" xfId="24739" xr:uid="{00000000-0005-0000-0000-0000A3600000}"/>
    <cellStyle name="Normal 3 2 4 4" xfId="24740" xr:uid="{00000000-0005-0000-0000-0000A4600000}"/>
    <cellStyle name="Normal 3 2 4 4 2" xfId="24741" xr:uid="{00000000-0005-0000-0000-0000A5600000}"/>
    <cellStyle name="Normal 3 2 4 4 2 2" xfId="24742" xr:uid="{00000000-0005-0000-0000-0000A6600000}"/>
    <cellStyle name="Normal 3 2 4 4 3" xfId="24743" xr:uid="{00000000-0005-0000-0000-0000A7600000}"/>
    <cellStyle name="Normal 3 2 4 5" xfId="24744" xr:uid="{00000000-0005-0000-0000-0000A8600000}"/>
    <cellStyle name="Normal 3 2 4 5 2" xfId="24745" xr:uid="{00000000-0005-0000-0000-0000A9600000}"/>
    <cellStyle name="Normal 3 2 4 5 2 2" xfId="24746" xr:uid="{00000000-0005-0000-0000-0000AA600000}"/>
    <cellStyle name="Normal 3 2 4 5 3" xfId="24747" xr:uid="{00000000-0005-0000-0000-0000AB600000}"/>
    <cellStyle name="Normal 3 2 4 6" xfId="24748" xr:uid="{00000000-0005-0000-0000-0000AC600000}"/>
    <cellStyle name="Normal 3 2 5" xfId="24749" xr:uid="{00000000-0005-0000-0000-0000AD600000}"/>
    <cellStyle name="Normal 3 2 5 2" xfId="24750" xr:uid="{00000000-0005-0000-0000-0000AE600000}"/>
    <cellStyle name="Normal 3 2 5 2 2" xfId="24751" xr:uid="{00000000-0005-0000-0000-0000AF600000}"/>
    <cellStyle name="Normal 3 2 5 3" xfId="24752" xr:uid="{00000000-0005-0000-0000-0000B0600000}"/>
    <cellStyle name="Normal 3 2 6" xfId="24753" xr:uid="{00000000-0005-0000-0000-0000B1600000}"/>
    <cellStyle name="Normal 3 2 7" xfId="24754" xr:uid="{00000000-0005-0000-0000-0000B2600000}"/>
    <cellStyle name="Normal 3 3" xfId="24755" xr:uid="{00000000-0005-0000-0000-0000B3600000}"/>
    <cellStyle name="Normal 3 3 2" xfId="24756" xr:uid="{00000000-0005-0000-0000-0000B4600000}"/>
    <cellStyle name="Normal 3 3 2 2" xfId="24757" xr:uid="{00000000-0005-0000-0000-0000B5600000}"/>
    <cellStyle name="Normal 3 3 2 2 2" xfId="24758" xr:uid="{00000000-0005-0000-0000-0000B6600000}"/>
    <cellStyle name="Normal 3 3 2 2 2 2" xfId="24759" xr:uid="{00000000-0005-0000-0000-0000B7600000}"/>
    <cellStyle name="Normal 3 3 2 2 3" xfId="24760" xr:uid="{00000000-0005-0000-0000-0000B8600000}"/>
    <cellStyle name="Normal 3 3 2 2 3 2" xfId="24761" xr:uid="{00000000-0005-0000-0000-0000B9600000}"/>
    <cellStyle name="Normal 3 3 2 2 3 2 2" xfId="24762" xr:uid="{00000000-0005-0000-0000-0000BA600000}"/>
    <cellStyle name="Normal 3 3 2 2 3 3" xfId="24763" xr:uid="{00000000-0005-0000-0000-0000BB600000}"/>
    <cellStyle name="Normal 3 3 2 2 4" xfId="24764" xr:uid="{00000000-0005-0000-0000-0000BC600000}"/>
    <cellStyle name="Normal 3 3 2 2 4 2" xfId="24765" xr:uid="{00000000-0005-0000-0000-0000BD600000}"/>
    <cellStyle name="Normal 3 3 2 2 4 2 2" xfId="24766" xr:uid="{00000000-0005-0000-0000-0000BE600000}"/>
    <cellStyle name="Normal 3 3 2 2 4 3" xfId="24767" xr:uid="{00000000-0005-0000-0000-0000BF600000}"/>
    <cellStyle name="Normal 3 3 2 2 5" xfId="24768" xr:uid="{00000000-0005-0000-0000-0000C0600000}"/>
    <cellStyle name="Normal 3 3 2 3" xfId="24769" xr:uid="{00000000-0005-0000-0000-0000C1600000}"/>
    <cellStyle name="Normal 3 3 2 3 2" xfId="24770" xr:uid="{00000000-0005-0000-0000-0000C2600000}"/>
    <cellStyle name="Normal 3 3 2 3 2 2" xfId="24771" xr:uid="{00000000-0005-0000-0000-0000C3600000}"/>
    <cellStyle name="Normal 3 3 2 3 3" xfId="24772" xr:uid="{00000000-0005-0000-0000-0000C4600000}"/>
    <cellStyle name="Normal 3 3 2 4" xfId="24773" xr:uid="{00000000-0005-0000-0000-0000C5600000}"/>
    <cellStyle name="Normal 3 3 2 4 2" xfId="24774" xr:uid="{00000000-0005-0000-0000-0000C6600000}"/>
    <cellStyle name="Normal 3 3 2 4 2 2" xfId="24775" xr:uid="{00000000-0005-0000-0000-0000C7600000}"/>
    <cellStyle name="Normal 3 3 2 4 3" xfId="24776" xr:uid="{00000000-0005-0000-0000-0000C8600000}"/>
    <cellStyle name="Normal 3 3 2 5" xfId="24777" xr:uid="{00000000-0005-0000-0000-0000C9600000}"/>
    <cellStyle name="Normal 3 3 2 5 2" xfId="24778" xr:uid="{00000000-0005-0000-0000-0000CA600000}"/>
    <cellStyle name="Normal 3 3 2 5 2 2" xfId="24779" xr:uid="{00000000-0005-0000-0000-0000CB600000}"/>
    <cellStyle name="Normal 3 3 2 5 3" xfId="24780" xr:uid="{00000000-0005-0000-0000-0000CC600000}"/>
    <cellStyle name="Normal 3 3 2 6" xfId="24781" xr:uid="{00000000-0005-0000-0000-0000CD600000}"/>
    <cellStyle name="Normal 3 3 3" xfId="24782" xr:uid="{00000000-0005-0000-0000-0000CE600000}"/>
    <cellStyle name="Normal 3 3 3 2" xfId="24783" xr:uid="{00000000-0005-0000-0000-0000CF600000}"/>
    <cellStyle name="Normal 3 3 3 2 2" xfId="24784" xr:uid="{00000000-0005-0000-0000-0000D0600000}"/>
    <cellStyle name="Normal 3 3 3 3" xfId="24785" xr:uid="{00000000-0005-0000-0000-0000D1600000}"/>
    <cellStyle name="Normal 3 3 3 3 2" xfId="24786" xr:uid="{00000000-0005-0000-0000-0000D2600000}"/>
    <cellStyle name="Normal 3 3 3 3 2 2" xfId="24787" xr:uid="{00000000-0005-0000-0000-0000D3600000}"/>
    <cellStyle name="Normal 3 3 3 3 3" xfId="24788" xr:uid="{00000000-0005-0000-0000-0000D4600000}"/>
    <cellStyle name="Normal 3 3 3 4" xfId="24789" xr:uid="{00000000-0005-0000-0000-0000D5600000}"/>
    <cellStyle name="Normal 3 3 3 4 2" xfId="24790" xr:uid="{00000000-0005-0000-0000-0000D6600000}"/>
    <cellStyle name="Normal 3 3 3 4 2 2" xfId="24791" xr:uid="{00000000-0005-0000-0000-0000D7600000}"/>
    <cellStyle name="Normal 3 3 3 4 3" xfId="24792" xr:uid="{00000000-0005-0000-0000-0000D8600000}"/>
    <cellStyle name="Normal 3 3 3 5" xfId="24793" xr:uid="{00000000-0005-0000-0000-0000D9600000}"/>
    <cellStyle name="Normal 3 3 4" xfId="24794" xr:uid="{00000000-0005-0000-0000-0000DA600000}"/>
    <cellStyle name="Normal 3 3 4 2" xfId="24795" xr:uid="{00000000-0005-0000-0000-0000DB600000}"/>
    <cellStyle name="Normal 3 3 4 2 2" xfId="24796" xr:uid="{00000000-0005-0000-0000-0000DC600000}"/>
    <cellStyle name="Normal 3 3 4 2 2 2" xfId="24797" xr:uid="{00000000-0005-0000-0000-0000DD600000}"/>
    <cellStyle name="Normal 3 3 4 2 3" xfId="24798" xr:uid="{00000000-0005-0000-0000-0000DE600000}"/>
    <cellStyle name="Normal 3 3 4 2 3 2" xfId="24799" xr:uid="{00000000-0005-0000-0000-0000DF600000}"/>
    <cellStyle name="Normal 3 3 4 2 3 2 2" xfId="24800" xr:uid="{00000000-0005-0000-0000-0000E0600000}"/>
    <cellStyle name="Normal 3 3 4 2 3 3" xfId="24801" xr:uid="{00000000-0005-0000-0000-0000E1600000}"/>
    <cellStyle name="Normal 3 3 4 2 4" xfId="24802" xr:uid="{00000000-0005-0000-0000-0000E2600000}"/>
    <cellStyle name="Normal 3 3 4 3" xfId="24803" xr:uid="{00000000-0005-0000-0000-0000E3600000}"/>
    <cellStyle name="Normal 3 3 4 3 2" xfId="24804" xr:uid="{00000000-0005-0000-0000-0000E4600000}"/>
    <cellStyle name="Normal 3 3 4 3 2 2" xfId="24805" xr:uid="{00000000-0005-0000-0000-0000E5600000}"/>
    <cellStyle name="Normal 3 3 4 3 3" xfId="24806" xr:uid="{00000000-0005-0000-0000-0000E6600000}"/>
    <cellStyle name="Normal 3 3 4 4" xfId="24807" xr:uid="{00000000-0005-0000-0000-0000E7600000}"/>
    <cellStyle name="Normal 3 3 4 4 2" xfId="24808" xr:uid="{00000000-0005-0000-0000-0000E8600000}"/>
    <cellStyle name="Normal 3 3 4 4 2 2" xfId="24809" xr:uid="{00000000-0005-0000-0000-0000E9600000}"/>
    <cellStyle name="Normal 3 3 4 4 3" xfId="24810" xr:uid="{00000000-0005-0000-0000-0000EA600000}"/>
    <cellStyle name="Normal 3 3 4 5" xfId="24811" xr:uid="{00000000-0005-0000-0000-0000EB600000}"/>
    <cellStyle name="Normal 3 3 4 5 2" xfId="24812" xr:uid="{00000000-0005-0000-0000-0000EC600000}"/>
    <cellStyle name="Normal 3 3 4 5 2 2" xfId="24813" xr:uid="{00000000-0005-0000-0000-0000ED600000}"/>
    <cellStyle name="Normal 3 3 4 5 3" xfId="24814" xr:uid="{00000000-0005-0000-0000-0000EE600000}"/>
    <cellStyle name="Normal 3 3 4 6" xfId="24815" xr:uid="{00000000-0005-0000-0000-0000EF600000}"/>
    <cellStyle name="Normal 3 3 5" xfId="24816" xr:uid="{00000000-0005-0000-0000-0000F0600000}"/>
    <cellStyle name="Normal 3 3 5 2" xfId="24817" xr:uid="{00000000-0005-0000-0000-0000F1600000}"/>
    <cellStyle name="Normal 3 3 5 2 2" xfId="24818" xr:uid="{00000000-0005-0000-0000-0000F2600000}"/>
    <cellStyle name="Normal 3 3 5 3" xfId="24819" xr:uid="{00000000-0005-0000-0000-0000F3600000}"/>
    <cellStyle name="Normal 3 3 6" xfId="24820" xr:uid="{00000000-0005-0000-0000-0000F4600000}"/>
    <cellStyle name="Normal 3 3 6 2" xfId="24821" xr:uid="{00000000-0005-0000-0000-0000F5600000}"/>
    <cellStyle name="Normal 3 3 6 2 2" xfId="24822" xr:uid="{00000000-0005-0000-0000-0000F6600000}"/>
    <cellStyle name="Normal 3 3 6 3" xfId="24823" xr:uid="{00000000-0005-0000-0000-0000F7600000}"/>
    <cellStyle name="Normal 3 3 7" xfId="24824" xr:uid="{00000000-0005-0000-0000-0000F8600000}"/>
    <cellStyle name="Normal 3 3 7 2" xfId="24825" xr:uid="{00000000-0005-0000-0000-0000F9600000}"/>
    <cellStyle name="Normal 3 3 7 2 2" xfId="24826" xr:uid="{00000000-0005-0000-0000-0000FA600000}"/>
    <cellStyle name="Normal 3 3 7 3" xfId="24827" xr:uid="{00000000-0005-0000-0000-0000FB600000}"/>
    <cellStyle name="Normal 3 3 8" xfId="24828" xr:uid="{00000000-0005-0000-0000-0000FC600000}"/>
    <cellStyle name="Normal 3 4" xfId="24829" xr:uid="{00000000-0005-0000-0000-0000FD600000}"/>
    <cellStyle name="Normal 3 4 2" xfId="24830" xr:uid="{00000000-0005-0000-0000-0000FE600000}"/>
    <cellStyle name="Normal 3 4 2 2" xfId="24831" xr:uid="{00000000-0005-0000-0000-0000FF600000}"/>
    <cellStyle name="Normal 3 4 2 2 2" xfId="24832" xr:uid="{00000000-0005-0000-0000-000000610000}"/>
    <cellStyle name="Normal 3 4 2 3" xfId="24833" xr:uid="{00000000-0005-0000-0000-000001610000}"/>
    <cellStyle name="Normal 3 4 2 3 2" xfId="24834" xr:uid="{00000000-0005-0000-0000-000002610000}"/>
    <cellStyle name="Normal 3 4 2 3 2 2" xfId="24835" xr:uid="{00000000-0005-0000-0000-000003610000}"/>
    <cellStyle name="Normal 3 4 2 3 3" xfId="24836" xr:uid="{00000000-0005-0000-0000-000004610000}"/>
    <cellStyle name="Normal 3 4 2 4" xfId="24837" xr:uid="{00000000-0005-0000-0000-000005610000}"/>
    <cellStyle name="Normal 3 4 2 4 2" xfId="24838" xr:uid="{00000000-0005-0000-0000-000006610000}"/>
    <cellStyle name="Normal 3 4 2 4 2 2" xfId="24839" xr:uid="{00000000-0005-0000-0000-000007610000}"/>
    <cellStyle name="Normal 3 4 2 4 3" xfId="24840" xr:uid="{00000000-0005-0000-0000-000008610000}"/>
    <cellStyle name="Normal 3 4 2 5" xfId="24841" xr:uid="{00000000-0005-0000-0000-000009610000}"/>
    <cellStyle name="Normal 3 4 3" xfId="24842" xr:uid="{00000000-0005-0000-0000-00000A610000}"/>
    <cellStyle name="Normal 3 4 3 2" xfId="24843" xr:uid="{00000000-0005-0000-0000-00000B610000}"/>
    <cellStyle name="Normal 3 4 3 2 2" xfId="24844" xr:uid="{00000000-0005-0000-0000-00000C610000}"/>
    <cellStyle name="Normal 3 4 3 3" xfId="24845" xr:uid="{00000000-0005-0000-0000-00000D610000}"/>
    <cellStyle name="Normal 3 4 4" xfId="24846" xr:uid="{00000000-0005-0000-0000-00000E610000}"/>
    <cellStyle name="Normal 3 4 4 2" xfId="24847" xr:uid="{00000000-0005-0000-0000-00000F610000}"/>
    <cellStyle name="Normal 3 4 4 2 2" xfId="24848" xr:uid="{00000000-0005-0000-0000-000010610000}"/>
    <cellStyle name="Normal 3 4 4 3" xfId="24849" xr:uid="{00000000-0005-0000-0000-000011610000}"/>
    <cellStyle name="Normal 3 4 5" xfId="24850" xr:uid="{00000000-0005-0000-0000-000012610000}"/>
    <cellStyle name="Normal 3 4 5 2" xfId="24851" xr:uid="{00000000-0005-0000-0000-000013610000}"/>
    <cellStyle name="Normal 3 4 5 2 2" xfId="24852" xr:uid="{00000000-0005-0000-0000-000014610000}"/>
    <cellStyle name="Normal 3 4 5 3" xfId="24853" xr:uid="{00000000-0005-0000-0000-000015610000}"/>
    <cellStyle name="Normal 3 4 6" xfId="24854" xr:uid="{00000000-0005-0000-0000-000016610000}"/>
    <cellStyle name="Normal 3 5" xfId="24855" xr:uid="{00000000-0005-0000-0000-000017610000}"/>
    <cellStyle name="Normal 3 5 2" xfId="24856" xr:uid="{00000000-0005-0000-0000-000018610000}"/>
    <cellStyle name="Normal 3 5 2 2" xfId="24857" xr:uid="{00000000-0005-0000-0000-000019610000}"/>
    <cellStyle name="Normal 3 5 2 2 2" xfId="24858" xr:uid="{00000000-0005-0000-0000-00001A610000}"/>
    <cellStyle name="Normal 3 5 2 3" xfId="24859" xr:uid="{00000000-0005-0000-0000-00001B610000}"/>
    <cellStyle name="Normal 3 5 2 3 2" xfId="24860" xr:uid="{00000000-0005-0000-0000-00001C610000}"/>
    <cellStyle name="Normal 3 5 2 3 2 2" xfId="24861" xr:uid="{00000000-0005-0000-0000-00001D610000}"/>
    <cellStyle name="Normal 3 5 2 3 3" xfId="24862" xr:uid="{00000000-0005-0000-0000-00001E610000}"/>
    <cellStyle name="Normal 3 5 2 4" xfId="24863" xr:uid="{00000000-0005-0000-0000-00001F610000}"/>
    <cellStyle name="Normal 3 5 2 4 2" xfId="24864" xr:uid="{00000000-0005-0000-0000-000020610000}"/>
    <cellStyle name="Normal 3 5 2 4 2 2" xfId="24865" xr:uid="{00000000-0005-0000-0000-000021610000}"/>
    <cellStyle name="Normal 3 5 2 4 3" xfId="24866" xr:uid="{00000000-0005-0000-0000-000022610000}"/>
    <cellStyle name="Normal 3 5 2 5" xfId="24867" xr:uid="{00000000-0005-0000-0000-000023610000}"/>
    <cellStyle name="Normal 3 5 3" xfId="24868" xr:uid="{00000000-0005-0000-0000-000024610000}"/>
    <cellStyle name="Normal 3 5 3 2" xfId="24869" xr:uid="{00000000-0005-0000-0000-000025610000}"/>
    <cellStyle name="Normal 3 5 3 2 2" xfId="24870" xr:uid="{00000000-0005-0000-0000-000026610000}"/>
    <cellStyle name="Normal 3 5 3 3" xfId="24871" xr:uid="{00000000-0005-0000-0000-000027610000}"/>
    <cellStyle name="Normal 3 5 4" xfId="24872" xr:uid="{00000000-0005-0000-0000-000028610000}"/>
    <cellStyle name="Normal 3 5 4 2" xfId="24873" xr:uid="{00000000-0005-0000-0000-000029610000}"/>
    <cellStyle name="Normal 3 5 4 2 2" xfId="24874" xr:uid="{00000000-0005-0000-0000-00002A610000}"/>
    <cellStyle name="Normal 3 5 4 3" xfId="24875" xr:uid="{00000000-0005-0000-0000-00002B610000}"/>
    <cellStyle name="Normal 3 5 5" xfId="24876" xr:uid="{00000000-0005-0000-0000-00002C610000}"/>
    <cellStyle name="Normal 3 5 5 2" xfId="24877" xr:uid="{00000000-0005-0000-0000-00002D610000}"/>
    <cellStyle name="Normal 3 5 5 2 2" xfId="24878" xr:uid="{00000000-0005-0000-0000-00002E610000}"/>
    <cellStyle name="Normal 3 5 5 3" xfId="24879" xr:uid="{00000000-0005-0000-0000-00002F610000}"/>
    <cellStyle name="Normal 3 5 6" xfId="24880" xr:uid="{00000000-0005-0000-0000-000030610000}"/>
    <cellStyle name="Normal 3 6" xfId="24881" xr:uid="{00000000-0005-0000-0000-000031610000}"/>
    <cellStyle name="Normal 3 6 2" xfId="24882" xr:uid="{00000000-0005-0000-0000-000032610000}"/>
    <cellStyle name="Normal 3 6 2 2" xfId="24883" xr:uid="{00000000-0005-0000-0000-000033610000}"/>
    <cellStyle name="Normal 3 6 2 2 2" xfId="24884" xr:uid="{00000000-0005-0000-0000-000034610000}"/>
    <cellStyle name="Normal 3 6 2 2 2 2" xfId="24885" xr:uid="{00000000-0005-0000-0000-000035610000}"/>
    <cellStyle name="Normal 3 6 2 2 3" xfId="24886" xr:uid="{00000000-0005-0000-0000-000036610000}"/>
    <cellStyle name="Normal 3 6 2 2 3 2" xfId="24887" xr:uid="{00000000-0005-0000-0000-000037610000}"/>
    <cellStyle name="Normal 3 6 2 2 3 2 2" xfId="24888" xr:uid="{00000000-0005-0000-0000-000038610000}"/>
    <cellStyle name="Normal 3 6 2 2 3 3" xfId="24889" xr:uid="{00000000-0005-0000-0000-000039610000}"/>
    <cellStyle name="Normal 3 6 2 2 4" xfId="24890" xr:uid="{00000000-0005-0000-0000-00003A610000}"/>
    <cellStyle name="Normal 3 6 2 3" xfId="24891" xr:uid="{00000000-0005-0000-0000-00003B610000}"/>
    <cellStyle name="Normal 3 6 2 3 2" xfId="24892" xr:uid="{00000000-0005-0000-0000-00003C610000}"/>
    <cellStyle name="Normal 3 6 2 3 2 2" xfId="24893" xr:uid="{00000000-0005-0000-0000-00003D610000}"/>
    <cellStyle name="Normal 3 6 2 3 3" xfId="24894" xr:uid="{00000000-0005-0000-0000-00003E610000}"/>
    <cellStyle name="Normal 3 6 2 4" xfId="24895" xr:uid="{00000000-0005-0000-0000-00003F610000}"/>
    <cellStyle name="Normal 3 6 2 4 2" xfId="24896" xr:uid="{00000000-0005-0000-0000-000040610000}"/>
    <cellStyle name="Normal 3 6 2 4 2 2" xfId="24897" xr:uid="{00000000-0005-0000-0000-000041610000}"/>
    <cellStyle name="Normal 3 6 2 4 3" xfId="24898" xr:uid="{00000000-0005-0000-0000-000042610000}"/>
    <cellStyle name="Normal 3 6 2 5" xfId="24899" xr:uid="{00000000-0005-0000-0000-000043610000}"/>
    <cellStyle name="Normal 3 6 3" xfId="24900" xr:uid="{00000000-0005-0000-0000-000044610000}"/>
    <cellStyle name="Normal 3 6 3 2" xfId="24901" xr:uid="{00000000-0005-0000-0000-000045610000}"/>
    <cellStyle name="Normal 3 6 4" xfId="24902" xr:uid="{00000000-0005-0000-0000-000046610000}"/>
    <cellStyle name="Normal 3 6 4 2" xfId="24903" xr:uid="{00000000-0005-0000-0000-000047610000}"/>
    <cellStyle name="Normal 3 6 4 2 2" xfId="24904" xr:uid="{00000000-0005-0000-0000-000048610000}"/>
    <cellStyle name="Normal 3 6 4 3" xfId="24905" xr:uid="{00000000-0005-0000-0000-000049610000}"/>
    <cellStyle name="Normal 3 6 5" xfId="24906" xr:uid="{00000000-0005-0000-0000-00004A610000}"/>
    <cellStyle name="Normal 3 6 5 2" xfId="24907" xr:uid="{00000000-0005-0000-0000-00004B610000}"/>
    <cellStyle name="Normal 3 6 5 2 2" xfId="24908" xr:uid="{00000000-0005-0000-0000-00004C610000}"/>
    <cellStyle name="Normal 3 6 5 3" xfId="24909" xr:uid="{00000000-0005-0000-0000-00004D610000}"/>
    <cellStyle name="Normal 3 6 6" xfId="24910" xr:uid="{00000000-0005-0000-0000-00004E610000}"/>
    <cellStyle name="Normal 3 7" xfId="24911" xr:uid="{00000000-0005-0000-0000-00004F610000}"/>
    <cellStyle name="Normal 3 7 2" xfId="24912" xr:uid="{00000000-0005-0000-0000-000050610000}"/>
    <cellStyle name="Normal 3 7 2 2" xfId="24913" xr:uid="{00000000-0005-0000-0000-000051610000}"/>
    <cellStyle name="Normal 3 7 2 2 2" xfId="24914" xr:uid="{00000000-0005-0000-0000-000052610000}"/>
    <cellStyle name="Normal 3 7 2 3" xfId="24915" xr:uid="{00000000-0005-0000-0000-000053610000}"/>
    <cellStyle name="Normal 3 7 2 3 2" xfId="24916" xr:uid="{00000000-0005-0000-0000-000054610000}"/>
    <cellStyle name="Normal 3 7 2 3 2 2" xfId="24917" xr:uid="{00000000-0005-0000-0000-000055610000}"/>
    <cellStyle name="Normal 3 7 2 3 3" xfId="24918" xr:uid="{00000000-0005-0000-0000-000056610000}"/>
    <cellStyle name="Normal 3 7 2 4" xfId="24919" xr:uid="{00000000-0005-0000-0000-000057610000}"/>
    <cellStyle name="Normal 3 7 3" xfId="24920" xr:uid="{00000000-0005-0000-0000-000058610000}"/>
    <cellStyle name="Normal 3 7 3 2" xfId="24921" xr:uid="{00000000-0005-0000-0000-000059610000}"/>
    <cellStyle name="Normal 3 7 3 2 2" xfId="24922" xr:uid="{00000000-0005-0000-0000-00005A610000}"/>
    <cellStyle name="Normal 3 7 3 3" xfId="24923" xr:uid="{00000000-0005-0000-0000-00005B610000}"/>
    <cellStyle name="Normal 3 7 4" xfId="24924" xr:uid="{00000000-0005-0000-0000-00005C610000}"/>
    <cellStyle name="Normal 3 7 4 2" xfId="24925" xr:uid="{00000000-0005-0000-0000-00005D610000}"/>
    <cellStyle name="Normal 3 7 4 2 2" xfId="24926" xr:uid="{00000000-0005-0000-0000-00005E610000}"/>
    <cellStyle name="Normal 3 7 4 3" xfId="24927" xr:uid="{00000000-0005-0000-0000-00005F610000}"/>
    <cellStyle name="Normal 3 7 5" xfId="24928" xr:uid="{00000000-0005-0000-0000-000060610000}"/>
    <cellStyle name="Normal 3 7 6" xfId="31685" xr:uid="{00000000-0005-0000-0000-0000C57B0000}"/>
    <cellStyle name="Normal 3 8" xfId="24929" xr:uid="{00000000-0005-0000-0000-000061610000}"/>
    <cellStyle name="Normal 3 8 2" xfId="24930" xr:uid="{00000000-0005-0000-0000-000062610000}"/>
    <cellStyle name="Normal 3 8 2 2" xfId="24931" xr:uid="{00000000-0005-0000-0000-000063610000}"/>
    <cellStyle name="Normal 3 8 3" xfId="24932" xr:uid="{00000000-0005-0000-0000-000064610000}"/>
    <cellStyle name="Normal 3 9" xfId="24933" xr:uid="{00000000-0005-0000-0000-000065610000}"/>
    <cellStyle name="Normal 3 9 2" xfId="24934" xr:uid="{00000000-0005-0000-0000-000066610000}"/>
    <cellStyle name="Normal 30" xfId="24935" xr:uid="{00000000-0005-0000-0000-000067610000}"/>
    <cellStyle name="Normal 30 2" xfId="24936" xr:uid="{00000000-0005-0000-0000-000068610000}"/>
    <cellStyle name="Normal 30 2 2" xfId="24937" xr:uid="{00000000-0005-0000-0000-000069610000}"/>
    <cellStyle name="Normal 30 2 2 2" xfId="24938" xr:uid="{00000000-0005-0000-0000-00006A610000}"/>
    <cellStyle name="Normal 30 2 2 2 2" xfId="24939" xr:uid="{00000000-0005-0000-0000-00006B610000}"/>
    <cellStyle name="Normal 30 2 2 3" xfId="24940" xr:uid="{00000000-0005-0000-0000-00006C610000}"/>
    <cellStyle name="Normal 30 2 2 3 2" xfId="24941" xr:uid="{00000000-0005-0000-0000-00006D610000}"/>
    <cellStyle name="Normal 30 2 2 3 2 2" xfId="24942" xr:uid="{00000000-0005-0000-0000-00006E610000}"/>
    <cellStyle name="Normal 30 2 2 3 3" xfId="24943" xr:uid="{00000000-0005-0000-0000-00006F610000}"/>
    <cellStyle name="Normal 30 2 2 4" xfId="24944" xr:uid="{00000000-0005-0000-0000-000070610000}"/>
    <cellStyle name="Normal 30 2 2 4 2" xfId="24945" xr:uid="{00000000-0005-0000-0000-000071610000}"/>
    <cellStyle name="Normal 30 2 2 4 2 2" xfId="24946" xr:uid="{00000000-0005-0000-0000-000072610000}"/>
    <cellStyle name="Normal 30 2 2 4 3" xfId="24947" xr:uid="{00000000-0005-0000-0000-000073610000}"/>
    <cellStyle name="Normal 30 2 2 5" xfId="24948" xr:uid="{00000000-0005-0000-0000-000074610000}"/>
    <cellStyle name="Normal 30 2 3" xfId="24949" xr:uid="{00000000-0005-0000-0000-000075610000}"/>
    <cellStyle name="Normal 30 2 3 2" xfId="24950" xr:uid="{00000000-0005-0000-0000-000076610000}"/>
    <cellStyle name="Normal 30 2 3 2 2" xfId="24951" xr:uid="{00000000-0005-0000-0000-000077610000}"/>
    <cellStyle name="Normal 30 2 3 3" xfId="24952" xr:uid="{00000000-0005-0000-0000-000078610000}"/>
    <cellStyle name="Normal 30 2 4" xfId="24953" xr:uid="{00000000-0005-0000-0000-000079610000}"/>
    <cellStyle name="Normal 30 2 4 2" xfId="24954" xr:uid="{00000000-0005-0000-0000-00007A610000}"/>
    <cellStyle name="Normal 30 2 4 2 2" xfId="24955" xr:uid="{00000000-0005-0000-0000-00007B610000}"/>
    <cellStyle name="Normal 30 2 4 3" xfId="24956" xr:uid="{00000000-0005-0000-0000-00007C610000}"/>
    <cellStyle name="Normal 30 2 5" xfId="24957" xr:uid="{00000000-0005-0000-0000-00007D610000}"/>
    <cellStyle name="Normal 30 2 5 2" xfId="24958" xr:uid="{00000000-0005-0000-0000-00007E610000}"/>
    <cellStyle name="Normal 30 2 5 2 2" xfId="24959" xr:uid="{00000000-0005-0000-0000-00007F610000}"/>
    <cellStyle name="Normal 30 2 5 3" xfId="24960" xr:uid="{00000000-0005-0000-0000-000080610000}"/>
    <cellStyle name="Normal 30 2 6" xfId="24961" xr:uid="{00000000-0005-0000-0000-000081610000}"/>
    <cellStyle name="Normal 30 3" xfId="24962" xr:uid="{00000000-0005-0000-0000-000082610000}"/>
    <cellStyle name="Normal 30 3 2" xfId="24963" xr:uid="{00000000-0005-0000-0000-000083610000}"/>
    <cellStyle name="Normal 30 3 2 2" xfId="24964" xr:uid="{00000000-0005-0000-0000-000084610000}"/>
    <cellStyle name="Normal 30 3 3" xfId="24965" xr:uid="{00000000-0005-0000-0000-000085610000}"/>
    <cellStyle name="Normal 30 3 3 2" xfId="24966" xr:uid="{00000000-0005-0000-0000-000086610000}"/>
    <cellStyle name="Normal 30 3 3 2 2" xfId="24967" xr:uid="{00000000-0005-0000-0000-000087610000}"/>
    <cellStyle name="Normal 30 3 3 3" xfId="24968" xr:uid="{00000000-0005-0000-0000-000088610000}"/>
    <cellStyle name="Normal 30 3 4" xfId="24969" xr:uid="{00000000-0005-0000-0000-000089610000}"/>
    <cellStyle name="Normal 30 3 4 2" xfId="24970" xr:uid="{00000000-0005-0000-0000-00008A610000}"/>
    <cellStyle name="Normal 30 3 4 2 2" xfId="24971" xr:uid="{00000000-0005-0000-0000-00008B610000}"/>
    <cellStyle name="Normal 30 3 4 3" xfId="24972" xr:uid="{00000000-0005-0000-0000-00008C610000}"/>
    <cellStyle name="Normal 30 3 5" xfId="24973" xr:uid="{00000000-0005-0000-0000-00008D610000}"/>
    <cellStyle name="Normal 30 4" xfId="24974" xr:uid="{00000000-0005-0000-0000-00008E610000}"/>
    <cellStyle name="Normal 30 4 2" xfId="24975" xr:uid="{00000000-0005-0000-0000-00008F610000}"/>
    <cellStyle name="Normal 30 4 2 2" xfId="24976" xr:uid="{00000000-0005-0000-0000-000090610000}"/>
    <cellStyle name="Normal 30 4 3" xfId="24977" xr:uid="{00000000-0005-0000-0000-000091610000}"/>
    <cellStyle name="Normal 30 5" xfId="24978" xr:uid="{00000000-0005-0000-0000-000092610000}"/>
    <cellStyle name="Normal 30 5 2" xfId="24979" xr:uid="{00000000-0005-0000-0000-000093610000}"/>
    <cellStyle name="Normal 30 5 2 2" xfId="24980" xr:uid="{00000000-0005-0000-0000-000094610000}"/>
    <cellStyle name="Normal 30 5 3" xfId="24981" xr:uid="{00000000-0005-0000-0000-000095610000}"/>
    <cellStyle name="Normal 30 6" xfId="24982" xr:uid="{00000000-0005-0000-0000-000096610000}"/>
    <cellStyle name="Normal 30 6 2" xfId="24983" xr:uid="{00000000-0005-0000-0000-000097610000}"/>
    <cellStyle name="Normal 30 6 2 2" xfId="24984" xr:uid="{00000000-0005-0000-0000-000098610000}"/>
    <cellStyle name="Normal 30 6 3" xfId="24985" xr:uid="{00000000-0005-0000-0000-000099610000}"/>
    <cellStyle name="Normal 30 7" xfId="24986" xr:uid="{00000000-0005-0000-0000-00009A610000}"/>
    <cellStyle name="Normal 300" xfId="24987" xr:uid="{00000000-0005-0000-0000-00009B610000}"/>
    <cellStyle name="Normal 300 2" xfId="24988" xr:uid="{00000000-0005-0000-0000-00009C610000}"/>
    <cellStyle name="Normal 300 2 2" xfId="24989" xr:uid="{00000000-0005-0000-0000-00009D610000}"/>
    <cellStyle name="Normal 300 2 2 2" xfId="24990" xr:uid="{00000000-0005-0000-0000-00009E610000}"/>
    <cellStyle name="Normal 300 2 3" xfId="24991" xr:uid="{00000000-0005-0000-0000-00009F610000}"/>
    <cellStyle name="Normal 300 2 3 2" xfId="24992" xr:uid="{00000000-0005-0000-0000-0000A0610000}"/>
    <cellStyle name="Normal 300 2 3 2 2" xfId="24993" xr:uid="{00000000-0005-0000-0000-0000A1610000}"/>
    <cellStyle name="Normal 300 2 3 3" xfId="24994" xr:uid="{00000000-0005-0000-0000-0000A2610000}"/>
    <cellStyle name="Normal 300 2 4" xfId="24995" xr:uid="{00000000-0005-0000-0000-0000A3610000}"/>
    <cellStyle name="Normal 300 2 4 2" xfId="24996" xr:uid="{00000000-0005-0000-0000-0000A4610000}"/>
    <cellStyle name="Normal 300 2 4 2 2" xfId="24997" xr:uid="{00000000-0005-0000-0000-0000A5610000}"/>
    <cellStyle name="Normal 300 2 4 3" xfId="24998" xr:uid="{00000000-0005-0000-0000-0000A6610000}"/>
    <cellStyle name="Normal 300 2 5" xfId="24999" xr:uid="{00000000-0005-0000-0000-0000A7610000}"/>
    <cellStyle name="Normal 300 3" xfId="25000" xr:uid="{00000000-0005-0000-0000-0000A8610000}"/>
    <cellStyle name="Normal 300 3 2" xfId="25001" xr:uid="{00000000-0005-0000-0000-0000A9610000}"/>
    <cellStyle name="Normal 300 3 2 2" xfId="25002" xr:uid="{00000000-0005-0000-0000-0000AA610000}"/>
    <cellStyle name="Normal 300 3 2 2 2" xfId="25003" xr:uid="{00000000-0005-0000-0000-0000AB610000}"/>
    <cellStyle name="Normal 300 3 2 3" xfId="25004" xr:uid="{00000000-0005-0000-0000-0000AC610000}"/>
    <cellStyle name="Normal 300 3 2 3 2" xfId="25005" xr:uid="{00000000-0005-0000-0000-0000AD610000}"/>
    <cellStyle name="Normal 300 3 2 3 2 2" xfId="25006" xr:uid="{00000000-0005-0000-0000-0000AE610000}"/>
    <cellStyle name="Normal 300 3 2 3 3" xfId="25007" xr:uid="{00000000-0005-0000-0000-0000AF610000}"/>
    <cellStyle name="Normal 300 3 2 4" xfId="25008" xr:uid="{00000000-0005-0000-0000-0000B0610000}"/>
    <cellStyle name="Normal 300 3 3" xfId="25009" xr:uid="{00000000-0005-0000-0000-0000B1610000}"/>
    <cellStyle name="Normal 300 3 3 2" xfId="25010" xr:uid="{00000000-0005-0000-0000-0000B2610000}"/>
    <cellStyle name="Normal 300 3 3 2 2" xfId="25011" xr:uid="{00000000-0005-0000-0000-0000B3610000}"/>
    <cellStyle name="Normal 300 3 3 3" xfId="25012" xr:uid="{00000000-0005-0000-0000-0000B4610000}"/>
    <cellStyle name="Normal 300 3 4" xfId="25013" xr:uid="{00000000-0005-0000-0000-0000B5610000}"/>
    <cellStyle name="Normal 300 3 4 2" xfId="25014" xr:uid="{00000000-0005-0000-0000-0000B6610000}"/>
    <cellStyle name="Normal 300 3 4 2 2" xfId="25015" xr:uid="{00000000-0005-0000-0000-0000B7610000}"/>
    <cellStyle name="Normal 300 3 4 3" xfId="25016" xr:uid="{00000000-0005-0000-0000-0000B8610000}"/>
    <cellStyle name="Normal 300 3 5" xfId="25017" xr:uid="{00000000-0005-0000-0000-0000B9610000}"/>
    <cellStyle name="Normal 300 3 5 2" xfId="25018" xr:uid="{00000000-0005-0000-0000-0000BA610000}"/>
    <cellStyle name="Normal 300 3 5 2 2" xfId="25019" xr:uid="{00000000-0005-0000-0000-0000BB610000}"/>
    <cellStyle name="Normal 300 3 5 3" xfId="25020" xr:uid="{00000000-0005-0000-0000-0000BC610000}"/>
    <cellStyle name="Normal 300 3 6" xfId="25021" xr:uid="{00000000-0005-0000-0000-0000BD610000}"/>
    <cellStyle name="Normal 300 4" xfId="25022" xr:uid="{00000000-0005-0000-0000-0000BE610000}"/>
    <cellStyle name="Normal 300 4 2" xfId="25023" xr:uid="{00000000-0005-0000-0000-0000BF610000}"/>
    <cellStyle name="Normal 300 4 2 2" xfId="25024" xr:uid="{00000000-0005-0000-0000-0000C0610000}"/>
    <cellStyle name="Normal 300 4 3" xfId="25025" xr:uid="{00000000-0005-0000-0000-0000C1610000}"/>
    <cellStyle name="Normal 300 5" xfId="25026" xr:uid="{00000000-0005-0000-0000-0000C2610000}"/>
    <cellStyle name="Normal 300 5 2" xfId="25027" xr:uid="{00000000-0005-0000-0000-0000C3610000}"/>
    <cellStyle name="Normal 300 5 2 2" xfId="25028" xr:uid="{00000000-0005-0000-0000-0000C4610000}"/>
    <cellStyle name="Normal 300 5 3" xfId="25029" xr:uid="{00000000-0005-0000-0000-0000C5610000}"/>
    <cellStyle name="Normal 300 6" xfId="25030" xr:uid="{00000000-0005-0000-0000-0000C6610000}"/>
    <cellStyle name="Normal 300 6 2" xfId="25031" xr:uid="{00000000-0005-0000-0000-0000C7610000}"/>
    <cellStyle name="Normal 300 6 2 2" xfId="25032" xr:uid="{00000000-0005-0000-0000-0000C8610000}"/>
    <cellStyle name="Normal 300 6 3" xfId="25033" xr:uid="{00000000-0005-0000-0000-0000C9610000}"/>
    <cellStyle name="Normal 300 7" xfId="25034" xr:uid="{00000000-0005-0000-0000-0000CA610000}"/>
    <cellStyle name="Normal 301" xfId="25035" xr:uid="{00000000-0005-0000-0000-0000CB610000}"/>
    <cellStyle name="Normal 301 2" xfId="25036" xr:uid="{00000000-0005-0000-0000-0000CC610000}"/>
    <cellStyle name="Normal 301 2 2" xfId="25037" xr:uid="{00000000-0005-0000-0000-0000CD610000}"/>
    <cellStyle name="Normal 301 2 2 2" xfId="25038" xr:uid="{00000000-0005-0000-0000-0000CE610000}"/>
    <cellStyle name="Normal 301 2 3" xfId="25039" xr:uid="{00000000-0005-0000-0000-0000CF610000}"/>
    <cellStyle name="Normal 301 2 3 2" xfId="25040" xr:uid="{00000000-0005-0000-0000-0000D0610000}"/>
    <cellStyle name="Normal 301 2 3 2 2" xfId="25041" xr:uid="{00000000-0005-0000-0000-0000D1610000}"/>
    <cellStyle name="Normal 301 2 3 3" xfId="25042" xr:uid="{00000000-0005-0000-0000-0000D2610000}"/>
    <cellStyle name="Normal 301 2 4" xfId="25043" xr:uid="{00000000-0005-0000-0000-0000D3610000}"/>
    <cellStyle name="Normal 301 2 4 2" xfId="25044" xr:uid="{00000000-0005-0000-0000-0000D4610000}"/>
    <cellStyle name="Normal 301 2 4 2 2" xfId="25045" xr:uid="{00000000-0005-0000-0000-0000D5610000}"/>
    <cellStyle name="Normal 301 2 4 3" xfId="25046" xr:uid="{00000000-0005-0000-0000-0000D6610000}"/>
    <cellStyle name="Normal 301 2 5" xfId="25047" xr:uid="{00000000-0005-0000-0000-0000D7610000}"/>
    <cellStyle name="Normal 301 3" xfId="25048" xr:uid="{00000000-0005-0000-0000-0000D8610000}"/>
    <cellStyle name="Normal 301 3 2" xfId="25049" xr:uid="{00000000-0005-0000-0000-0000D9610000}"/>
    <cellStyle name="Normal 301 3 2 2" xfId="25050" xr:uid="{00000000-0005-0000-0000-0000DA610000}"/>
    <cellStyle name="Normal 301 3 2 2 2" xfId="25051" xr:uid="{00000000-0005-0000-0000-0000DB610000}"/>
    <cellStyle name="Normal 301 3 2 3" xfId="25052" xr:uid="{00000000-0005-0000-0000-0000DC610000}"/>
    <cellStyle name="Normal 301 3 2 3 2" xfId="25053" xr:uid="{00000000-0005-0000-0000-0000DD610000}"/>
    <cellStyle name="Normal 301 3 2 3 2 2" xfId="25054" xr:uid="{00000000-0005-0000-0000-0000DE610000}"/>
    <cellStyle name="Normal 301 3 2 3 3" xfId="25055" xr:uid="{00000000-0005-0000-0000-0000DF610000}"/>
    <cellStyle name="Normal 301 3 2 4" xfId="25056" xr:uid="{00000000-0005-0000-0000-0000E0610000}"/>
    <cellStyle name="Normal 301 3 3" xfId="25057" xr:uid="{00000000-0005-0000-0000-0000E1610000}"/>
    <cellStyle name="Normal 301 3 3 2" xfId="25058" xr:uid="{00000000-0005-0000-0000-0000E2610000}"/>
    <cellStyle name="Normal 301 3 3 2 2" xfId="25059" xr:uid="{00000000-0005-0000-0000-0000E3610000}"/>
    <cellStyle name="Normal 301 3 3 3" xfId="25060" xr:uid="{00000000-0005-0000-0000-0000E4610000}"/>
    <cellStyle name="Normal 301 3 4" xfId="25061" xr:uid="{00000000-0005-0000-0000-0000E5610000}"/>
    <cellStyle name="Normal 301 3 4 2" xfId="25062" xr:uid="{00000000-0005-0000-0000-0000E6610000}"/>
    <cellStyle name="Normal 301 3 4 2 2" xfId="25063" xr:uid="{00000000-0005-0000-0000-0000E7610000}"/>
    <cellStyle name="Normal 301 3 4 3" xfId="25064" xr:uid="{00000000-0005-0000-0000-0000E8610000}"/>
    <cellStyle name="Normal 301 3 5" xfId="25065" xr:uid="{00000000-0005-0000-0000-0000E9610000}"/>
    <cellStyle name="Normal 301 3 5 2" xfId="25066" xr:uid="{00000000-0005-0000-0000-0000EA610000}"/>
    <cellStyle name="Normal 301 3 5 2 2" xfId="25067" xr:uid="{00000000-0005-0000-0000-0000EB610000}"/>
    <cellStyle name="Normal 301 3 5 3" xfId="25068" xr:uid="{00000000-0005-0000-0000-0000EC610000}"/>
    <cellStyle name="Normal 301 3 6" xfId="25069" xr:uid="{00000000-0005-0000-0000-0000ED610000}"/>
    <cellStyle name="Normal 301 4" xfId="25070" xr:uid="{00000000-0005-0000-0000-0000EE610000}"/>
    <cellStyle name="Normal 301 4 2" xfId="25071" xr:uid="{00000000-0005-0000-0000-0000EF610000}"/>
    <cellStyle name="Normal 301 4 2 2" xfId="25072" xr:uid="{00000000-0005-0000-0000-0000F0610000}"/>
    <cellStyle name="Normal 301 4 3" xfId="25073" xr:uid="{00000000-0005-0000-0000-0000F1610000}"/>
    <cellStyle name="Normal 301 5" xfId="25074" xr:uid="{00000000-0005-0000-0000-0000F2610000}"/>
    <cellStyle name="Normal 301 5 2" xfId="25075" xr:uid="{00000000-0005-0000-0000-0000F3610000}"/>
    <cellStyle name="Normal 301 5 2 2" xfId="25076" xr:uid="{00000000-0005-0000-0000-0000F4610000}"/>
    <cellStyle name="Normal 301 5 3" xfId="25077" xr:uid="{00000000-0005-0000-0000-0000F5610000}"/>
    <cellStyle name="Normal 301 6" xfId="25078" xr:uid="{00000000-0005-0000-0000-0000F6610000}"/>
    <cellStyle name="Normal 301 6 2" xfId="25079" xr:uid="{00000000-0005-0000-0000-0000F7610000}"/>
    <cellStyle name="Normal 301 6 2 2" xfId="25080" xr:uid="{00000000-0005-0000-0000-0000F8610000}"/>
    <cellStyle name="Normal 301 6 3" xfId="25081" xr:uid="{00000000-0005-0000-0000-0000F9610000}"/>
    <cellStyle name="Normal 301 7" xfId="25082" xr:uid="{00000000-0005-0000-0000-0000FA610000}"/>
    <cellStyle name="Normal 302" xfId="25083" xr:uid="{00000000-0005-0000-0000-0000FB610000}"/>
    <cellStyle name="Normal 302 2" xfId="25084" xr:uid="{00000000-0005-0000-0000-0000FC610000}"/>
    <cellStyle name="Normal 302 2 2" xfId="25085" xr:uid="{00000000-0005-0000-0000-0000FD610000}"/>
    <cellStyle name="Normal 302 2 2 2" xfId="25086" xr:uid="{00000000-0005-0000-0000-0000FE610000}"/>
    <cellStyle name="Normal 302 2 3" xfId="25087" xr:uid="{00000000-0005-0000-0000-0000FF610000}"/>
    <cellStyle name="Normal 302 2 3 2" xfId="25088" xr:uid="{00000000-0005-0000-0000-000000620000}"/>
    <cellStyle name="Normal 302 2 3 2 2" xfId="25089" xr:uid="{00000000-0005-0000-0000-000001620000}"/>
    <cellStyle name="Normal 302 2 3 3" xfId="25090" xr:uid="{00000000-0005-0000-0000-000002620000}"/>
    <cellStyle name="Normal 302 2 4" xfId="25091" xr:uid="{00000000-0005-0000-0000-000003620000}"/>
    <cellStyle name="Normal 302 2 4 2" xfId="25092" xr:uid="{00000000-0005-0000-0000-000004620000}"/>
    <cellStyle name="Normal 302 2 4 2 2" xfId="25093" xr:uid="{00000000-0005-0000-0000-000005620000}"/>
    <cellStyle name="Normal 302 2 4 3" xfId="25094" xr:uid="{00000000-0005-0000-0000-000006620000}"/>
    <cellStyle name="Normal 302 2 5" xfId="25095" xr:uid="{00000000-0005-0000-0000-000007620000}"/>
    <cellStyle name="Normal 302 3" xfId="25096" xr:uid="{00000000-0005-0000-0000-000008620000}"/>
    <cellStyle name="Normal 302 3 2" xfId="25097" xr:uid="{00000000-0005-0000-0000-000009620000}"/>
    <cellStyle name="Normal 302 3 2 2" xfId="25098" xr:uid="{00000000-0005-0000-0000-00000A620000}"/>
    <cellStyle name="Normal 302 3 2 2 2" xfId="25099" xr:uid="{00000000-0005-0000-0000-00000B620000}"/>
    <cellStyle name="Normal 302 3 2 3" xfId="25100" xr:uid="{00000000-0005-0000-0000-00000C620000}"/>
    <cellStyle name="Normal 302 3 2 3 2" xfId="25101" xr:uid="{00000000-0005-0000-0000-00000D620000}"/>
    <cellStyle name="Normal 302 3 2 3 2 2" xfId="25102" xr:uid="{00000000-0005-0000-0000-00000E620000}"/>
    <cellStyle name="Normal 302 3 2 3 3" xfId="25103" xr:uid="{00000000-0005-0000-0000-00000F620000}"/>
    <cellStyle name="Normal 302 3 2 4" xfId="25104" xr:uid="{00000000-0005-0000-0000-000010620000}"/>
    <cellStyle name="Normal 302 3 3" xfId="25105" xr:uid="{00000000-0005-0000-0000-000011620000}"/>
    <cellStyle name="Normal 302 3 3 2" xfId="25106" xr:uid="{00000000-0005-0000-0000-000012620000}"/>
    <cellStyle name="Normal 302 3 3 2 2" xfId="25107" xr:uid="{00000000-0005-0000-0000-000013620000}"/>
    <cellStyle name="Normal 302 3 3 3" xfId="25108" xr:uid="{00000000-0005-0000-0000-000014620000}"/>
    <cellStyle name="Normal 302 3 4" xfId="25109" xr:uid="{00000000-0005-0000-0000-000015620000}"/>
    <cellStyle name="Normal 302 3 4 2" xfId="25110" xr:uid="{00000000-0005-0000-0000-000016620000}"/>
    <cellStyle name="Normal 302 3 4 2 2" xfId="25111" xr:uid="{00000000-0005-0000-0000-000017620000}"/>
    <cellStyle name="Normal 302 3 4 3" xfId="25112" xr:uid="{00000000-0005-0000-0000-000018620000}"/>
    <cellStyle name="Normal 302 3 5" xfId="25113" xr:uid="{00000000-0005-0000-0000-000019620000}"/>
    <cellStyle name="Normal 302 3 5 2" xfId="25114" xr:uid="{00000000-0005-0000-0000-00001A620000}"/>
    <cellStyle name="Normal 302 3 5 2 2" xfId="25115" xr:uid="{00000000-0005-0000-0000-00001B620000}"/>
    <cellStyle name="Normal 302 3 5 3" xfId="25116" xr:uid="{00000000-0005-0000-0000-00001C620000}"/>
    <cellStyle name="Normal 302 3 6" xfId="25117" xr:uid="{00000000-0005-0000-0000-00001D620000}"/>
    <cellStyle name="Normal 302 4" xfId="25118" xr:uid="{00000000-0005-0000-0000-00001E620000}"/>
    <cellStyle name="Normal 302 4 2" xfId="25119" xr:uid="{00000000-0005-0000-0000-00001F620000}"/>
    <cellStyle name="Normal 302 4 2 2" xfId="25120" xr:uid="{00000000-0005-0000-0000-000020620000}"/>
    <cellStyle name="Normal 302 4 3" xfId="25121" xr:uid="{00000000-0005-0000-0000-000021620000}"/>
    <cellStyle name="Normal 302 5" xfId="25122" xr:uid="{00000000-0005-0000-0000-000022620000}"/>
    <cellStyle name="Normal 302 5 2" xfId="25123" xr:uid="{00000000-0005-0000-0000-000023620000}"/>
    <cellStyle name="Normal 302 5 2 2" xfId="25124" xr:uid="{00000000-0005-0000-0000-000024620000}"/>
    <cellStyle name="Normal 302 5 3" xfId="25125" xr:uid="{00000000-0005-0000-0000-000025620000}"/>
    <cellStyle name="Normal 302 6" xfId="25126" xr:uid="{00000000-0005-0000-0000-000026620000}"/>
    <cellStyle name="Normal 302 6 2" xfId="25127" xr:uid="{00000000-0005-0000-0000-000027620000}"/>
    <cellStyle name="Normal 302 6 2 2" xfId="25128" xr:uid="{00000000-0005-0000-0000-000028620000}"/>
    <cellStyle name="Normal 302 6 3" xfId="25129" xr:uid="{00000000-0005-0000-0000-000029620000}"/>
    <cellStyle name="Normal 302 7" xfId="25130" xr:uid="{00000000-0005-0000-0000-00002A620000}"/>
    <cellStyle name="Normal 303" xfId="25131" xr:uid="{00000000-0005-0000-0000-00002B620000}"/>
    <cellStyle name="Normal 303 2" xfId="25132" xr:uid="{00000000-0005-0000-0000-00002C620000}"/>
    <cellStyle name="Normal 303 2 2" xfId="25133" xr:uid="{00000000-0005-0000-0000-00002D620000}"/>
    <cellStyle name="Normal 303 2 2 2" xfId="25134" xr:uid="{00000000-0005-0000-0000-00002E620000}"/>
    <cellStyle name="Normal 303 2 3" xfId="25135" xr:uid="{00000000-0005-0000-0000-00002F620000}"/>
    <cellStyle name="Normal 303 2 3 2" xfId="25136" xr:uid="{00000000-0005-0000-0000-000030620000}"/>
    <cellStyle name="Normal 303 2 3 2 2" xfId="25137" xr:uid="{00000000-0005-0000-0000-000031620000}"/>
    <cellStyle name="Normal 303 2 3 3" xfId="25138" xr:uid="{00000000-0005-0000-0000-000032620000}"/>
    <cellStyle name="Normal 303 2 4" xfId="25139" xr:uid="{00000000-0005-0000-0000-000033620000}"/>
    <cellStyle name="Normal 303 2 4 2" xfId="25140" xr:uid="{00000000-0005-0000-0000-000034620000}"/>
    <cellStyle name="Normal 303 2 4 2 2" xfId="25141" xr:uid="{00000000-0005-0000-0000-000035620000}"/>
    <cellStyle name="Normal 303 2 4 3" xfId="25142" xr:uid="{00000000-0005-0000-0000-000036620000}"/>
    <cellStyle name="Normal 303 2 5" xfId="25143" xr:uid="{00000000-0005-0000-0000-000037620000}"/>
    <cellStyle name="Normal 303 3" xfId="25144" xr:uid="{00000000-0005-0000-0000-000038620000}"/>
    <cellStyle name="Normal 303 3 2" xfId="25145" xr:uid="{00000000-0005-0000-0000-000039620000}"/>
    <cellStyle name="Normal 303 3 2 2" xfId="25146" xr:uid="{00000000-0005-0000-0000-00003A620000}"/>
    <cellStyle name="Normal 303 3 2 2 2" xfId="25147" xr:uid="{00000000-0005-0000-0000-00003B620000}"/>
    <cellStyle name="Normal 303 3 2 3" xfId="25148" xr:uid="{00000000-0005-0000-0000-00003C620000}"/>
    <cellStyle name="Normal 303 3 2 3 2" xfId="25149" xr:uid="{00000000-0005-0000-0000-00003D620000}"/>
    <cellStyle name="Normal 303 3 2 3 2 2" xfId="25150" xr:uid="{00000000-0005-0000-0000-00003E620000}"/>
    <cellStyle name="Normal 303 3 2 3 3" xfId="25151" xr:uid="{00000000-0005-0000-0000-00003F620000}"/>
    <cellStyle name="Normal 303 3 2 4" xfId="25152" xr:uid="{00000000-0005-0000-0000-000040620000}"/>
    <cellStyle name="Normal 303 3 3" xfId="25153" xr:uid="{00000000-0005-0000-0000-000041620000}"/>
    <cellStyle name="Normal 303 3 3 2" xfId="25154" xr:uid="{00000000-0005-0000-0000-000042620000}"/>
    <cellStyle name="Normal 303 3 3 2 2" xfId="25155" xr:uid="{00000000-0005-0000-0000-000043620000}"/>
    <cellStyle name="Normal 303 3 3 3" xfId="25156" xr:uid="{00000000-0005-0000-0000-000044620000}"/>
    <cellStyle name="Normal 303 3 4" xfId="25157" xr:uid="{00000000-0005-0000-0000-000045620000}"/>
    <cellStyle name="Normal 303 3 4 2" xfId="25158" xr:uid="{00000000-0005-0000-0000-000046620000}"/>
    <cellStyle name="Normal 303 3 4 2 2" xfId="25159" xr:uid="{00000000-0005-0000-0000-000047620000}"/>
    <cellStyle name="Normal 303 3 4 3" xfId="25160" xr:uid="{00000000-0005-0000-0000-000048620000}"/>
    <cellStyle name="Normal 303 3 5" xfId="25161" xr:uid="{00000000-0005-0000-0000-000049620000}"/>
    <cellStyle name="Normal 303 3 5 2" xfId="25162" xr:uid="{00000000-0005-0000-0000-00004A620000}"/>
    <cellStyle name="Normal 303 3 5 2 2" xfId="25163" xr:uid="{00000000-0005-0000-0000-00004B620000}"/>
    <cellStyle name="Normal 303 3 5 3" xfId="25164" xr:uid="{00000000-0005-0000-0000-00004C620000}"/>
    <cellStyle name="Normal 303 3 6" xfId="25165" xr:uid="{00000000-0005-0000-0000-00004D620000}"/>
    <cellStyle name="Normal 303 4" xfId="25166" xr:uid="{00000000-0005-0000-0000-00004E620000}"/>
    <cellStyle name="Normal 303 4 2" xfId="25167" xr:uid="{00000000-0005-0000-0000-00004F620000}"/>
    <cellStyle name="Normal 303 4 2 2" xfId="25168" xr:uid="{00000000-0005-0000-0000-000050620000}"/>
    <cellStyle name="Normal 303 4 3" xfId="25169" xr:uid="{00000000-0005-0000-0000-000051620000}"/>
    <cellStyle name="Normal 303 5" xfId="25170" xr:uid="{00000000-0005-0000-0000-000052620000}"/>
    <cellStyle name="Normal 303 5 2" xfId="25171" xr:uid="{00000000-0005-0000-0000-000053620000}"/>
    <cellStyle name="Normal 303 5 2 2" xfId="25172" xr:uid="{00000000-0005-0000-0000-000054620000}"/>
    <cellStyle name="Normal 303 5 3" xfId="25173" xr:uid="{00000000-0005-0000-0000-000055620000}"/>
    <cellStyle name="Normal 303 6" xfId="25174" xr:uid="{00000000-0005-0000-0000-000056620000}"/>
    <cellStyle name="Normal 303 6 2" xfId="25175" xr:uid="{00000000-0005-0000-0000-000057620000}"/>
    <cellStyle name="Normal 303 6 2 2" xfId="25176" xr:uid="{00000000-0005-0000-0000-000058620000}"/>
    <cellStyle name="Normal 303 6 3" xfId="25177" xr:uid="{00000000-0005-0000-0000-000059620000}"/>
    <cellStyle name="Normal 303 7" xfId="25178" xr:uid="{00000000-0005-0000-0000-00005A620000}"/>
    <cellStyle name="Normal 304" xfId="25179" xr:uid="{00000000-0005-0000-0000-00005B620000}"/>
    <cellStyle name="Normal 304 2" xfId="25180" xr:uid="{00000000-0005-0000-0000-00005C620000}"/>
    <cellStyle name="Normal 304 2 2" xfId="25181" xr:uid="{00000000-0005-0000-0000-00005D620000}"/>
    <cellStyle name="Normal 304 2 2 2" xfId="25182" xr:uid="{00000000-0005-0000-0000-00005E620000}"/>
    <cellStyle name="Normal 304 2 3" xfId="25183" xr:uid="{00000000-0005-0000-0000-00005F620000}"/>
    <cellStyle name="Normal 304 2 3 2" xfId="25184" xr:uid="{00000000-0005-0000-0000-000060620000}"/>
    <cellStyle name="Normal 304 2 3 2 2" xfId="25185" xr:uid="{00000000-0005-0000-0000-000061620000}"/>
    <cellStyle name="Normal 304 2 3 3" xfId="25186" xr:uid="{00000000-0005-0000-0000-000062620000}"/>
    <cellStyle name="Normal 304 2 4" xfId="25187" xr:uid="{00000000-0005-0000-0000-000063620000}"/>
    <cellStyle name="Normal 304 2 4 2" xfId="25188" xr:uid="{00000000-0005-0000-0000-000064620000}"/>
    <cellStyle name="Normal 304 2 4 2 2" xfId="25189" xr:uid="{00000000-0005-0000-0000-000065620000}"/>
    <cellStyle name="Normal 304 2 4 3" xfId="25190" xr:uid="{00000000-0005-0000-0000-000066620000}"/>
    <cellStyle name="Normal 304 2 5" xfId="25191" xr:uid="{00000000-0005-0000-0000-000067620000}"/>
    <cellStyle name="Normal 304 3" xfId="25192" xr:uid="{00000000-0005-0000-0000-000068620000}"/>
    <cellStyle name="Normal 304 3 2" xfId="25193" xr:uid="{00000000-0005-0000-0000-000069620000}"/>
    <cellStyle name="Normal 304 3 2 2" xfId="25194" xr:uid="{00000000-0005-0000-0000-00006A620000}"/>
    <cellStyle name="Normal 304 3 2 2 2" xfId="25195" xr:uid="{00000000-0005-0000-0000-00006B620000}"/>
    <cellStyle name="Normal 304 3 2 3" xfId="25196" xr:uid="{00000000-0005-0000-0000-00006C620000}"/>
    <cellStyle name="Normal 304 3 2 3 2" xfId="25197" xr:uid="{00000000-0005-0000-0000-00006D620000}"/>
    <cellStyle name="Normal 304 3 2 3 2 2" xfId="25198" xr:uid="{00000000-0005-0000-0000-00006E620000}"/>
    <cellStyle name="Normal 304 3 2 3 3" xfId="25199" xr:uid="{00000000-0005-0000-0000-00006F620000}"/>
    <cellStyle name="Normal 304 3 2 4" xfId="25200" xr:uid="{00000000-0005-0000-0000-000070620000}"/>
    <cellStyle name="Normal 304 3 3" xfId="25201" xr:uid="{00000000-0005-0000-0000-000071620000}"/>
    <cellStyle name="Normal 304 3 3 2" xfId="25202" xr:uid="{00000000-0005-0000-0000-000072620000}"/>
    <cellStyle name="Normal 304 3 3 2 2" xfId="25203" xr:uid="{00000000-0005-0000-0000-000073620000}"/>
    <cellStyle name="Normal 304 3 3 3" xfId="25204" xr:uid="{00000000-0005-0000-0000-000074620000}"/>
    <cellStyle name="Normal 304 3 4" xfId="25205" xr:uid="{00000000-0005-0000-0000-000075620000}"/>
    <cellStyle name="Normal 304 3 4 2" xfId="25206" xr:uid="{00000000-0005-0000-0000-000076620000}"/>
    <cellStyle name="Normal 304 3 4 2 2" xfId="25207" xr:uid="{00000000-0005-0000-0000-000077620000}"/>
    <cellStyle name="Normal 304 3 4 3" xfId="25208" xr:uid="{00000000-0005-0000-0000-000078620000}"/>
    <cellStyle name="Normal 304 3 5" xfId="25209" xr:uid="{00000000-0005-0000-0000-000079620000}"/>
    <cellStyle name="Normal 304 3 5 2" xfId="25210" xr:uid="{00000000-0005-0000-0000-00007A620000}"/>
    <cellStyle name="Normal 304 3 5 2 2" xfId="25211" xr:uid="{00000000-0005-0000-0000-00007B620000}"/>
    <cellStyle name="Normal 304 3 5 3" xfId="25212" xr:uid="{00000000-0005-0000-0000-00007C620000}"/>
    <cellStyle name="Normal 304 3 6" xfId="25213" xr:uid="{00000000-0005-0000-0000-00007D620000}"/>
    <cellStyle name="Normal 304 4" xfId="25214" xr:uid="{00000000-0005-0000-0000-00007E620000}"/>
    <cellStyle name="Normal 304 4 2" xfId="25215" xr:uid="{00000000-0005-0000-0000-00007F620000}"/>
    <cellStyle name="Normal 304 4 2 2" xfId="25216" xr:uid="{00000000-0005-0000-0000-000080620000}"/>
    <cellStyle name="Normal 304 4 3" xfId="25217" xr:uid="{00000000-0005-0000-0000-000081620000}"/>
    <cellStyle name="Normal 304 5" xfId="25218" xr:uid="{00000000-0005-0000-0000-000082620000}"/>
    <cellStyle name="Normal 304 5 2" xfId="25219" xr:uid="{00000000-0005-0000-0000-000083620000}"/>
    <cellStyle name="Normal 304 5 2 2" xfId="25220" xr:uid="{00000000-0005-0000-0000-000084620000}"/>
    <cellStyle name="Normal 304 5 3" xfId="25221" xr:uid="{00000000-0005-0000-0000-000085620000}"/>
    <cellStyle name="Normal 304 6" xfId="25222" xr:uid="{00000000-0005-0000-0000-000086620000}"/>
    <cellStyle name="Normal 304 6 2" xfId="25223" xr:uid="{00000000-0005-0000-0000-000087620000}"/>
    <cellStyle name="Normal 304 6 2 2" xfId="25224" xr:uid="{00000000-0005-0000-0000-000088620000}"/>
    <cellStyle name="Normal 304 6 3" xfId="25225" xr:uid="{00000000-0005-0000-0000-000089620000}"/>
    <cellStyle name="Normal 304 7" xfId="25226" xr:uid="{00000000-0005-0000-0000-00008A620000}"/>
    <cellStyle name="Normal 305" xfId="25227" xr:uid="{00000000-0005-0000-0000-00008B620000}"/>
    <cellStyle name="Normal 305 2" xfId="25228" xr:uid="{00000000-0005-0000-0000-00008C620000}"/>
    <cellStyle name="Normal 305 2 2" xfId="25229" xr:uid="{00000000-0005-0000-0000-00008D620000}"/>
    <cellStyle name="Normal 305 2 2 2" xfId="25230" xr:uid="{00000000-0005-0000-0000-00008E620000}"/>
    <cellStyle name="Normal 305 2 3" xfId="25231" xr:uid="{00000000-0005-0000-0000-00008F620000}"/>
    <cellStyle name="Normal 305 2 3 2" xfId="25232" xr:uid="{00000000-0005-0000-0000-000090620000}"/>
    <cellStyle name="Normal 305 2 3 2 2" xfId="25233" xr:uid="{00000000-0005-0000-0000-000091620000}"/>
    <cellStyle name="Normal 305 2 3 3" xfId="25234" xr:uid="{00000000-0005-0000-0000-000092620000}"/>
    <cellStyle name="Normal 305 2 4" xfId="25235" xr:uid="{00000000-0005-0000-0000-000093620000}"/>
    <cellStyle name="Normal 305 2 4 2" xfId="25236" xr:uid="{00000000-0005-0000-0000-000094620000}"/>
    <cellStyle name="Normal 305 2 4 2 2" xfId="25237" xr:uid="{00000000-0005-0000-0000-000095620000}"/>
    <cellStyle name="Normal 305 2 4 3" xfId="25238" xr:uid="{00000000-0005-0000-0000-000096620000}"/>
    <cellStyle name="Normal 305 2 5" xfId="25239" xr:uid="{00000000-0005-0000-0000-000097620000}"/>
    <cellStyle name="Normal 305 3" xfId="25240" xr:uid="{00000000-0005-0000-0000-000098620000}"/>
    <cellStyle name="Normal 305 3 2" xfId="25241" xr:uid="{00000000-0005-0000-0000-000099620000}"/>
    <cellStyle name="Normal 305 3 2 2" xfId="25242" xr:uid="{00000000-0005-0000-0000-00009A620000}"/>
    <cellStyle name="Normal 305 3 2 2 2" xfId="25243" xr:uid="{00000000-0005-0000-0000-00009B620000}"/>
    <cellStyle name="Normal 305 3 2 3" xfId="25244" xr:uid="{00000000-0005-0000-0000-00009C620000}"/>
    <cellStyle name="Normal 305 3 2 3 2" xfId="25245" xr:uid="{00000000-0005-0000-0000-00009D620000}"/>
    <cellStyle name="Normal 305 3 2 3 2 2" xfId="25246" xr:uid="{00000000-0005-0000-0000-00009E620000}"/>
    <cellStyle name="Normal 305 3 2 3 3" xfId="25247" xr:uid="{00000000-0005-0000-0000-00009F620000}"/>
    <cellStyle name="Normal 305 3 2 4" xfId="25248" xr:uid="{00000000-0005-0000-0000-0000A0620000}"/>
    <cellStyle name="Normal 305 3 3" xfId="25249" xr:uid="{00000000-0005-0000-0000-0000A1620000}"/>
    <cellStyle name="Normal 305 3 3 2" xfId="25250" xr:uid="{00000000-0005-0000-0000-0000A2620000}"/>
    <cellStyle name="Normal 305 3 3 2 2" xfId="25251" xr:uid="{00000000-0005-0000-0000-0000A3620000}"/>
    <cellStyle name="Normal 305 3 3 3" xfId="25252" xr:uid="{00000000-0005-0000-0000-0000A4620000}"/>
    <cellStyle name="Normal 305 3 4" xfId="25253" xr:uid="{00000000-0005-0000-0000-0000A5620000}"/>
    <cellStyle name="Normal 305 3 4 2" xfId="25254" xr:uid="{00000000-0005-0000-0000-0000A6620000}"/>
    <cellStyle name="Normal 305 3 4 2 2" xfId="25255" xr:uid="{00000000-0005-0000-0000-0000A7620000}"/>
    <cellStyle name="Normal 305 3 4 3" xfId="25256" xr:uid="{00000000-0005-0000-0000-0000A8620000}"/>
    <cellStyle name="Normal 305 3 5" xfId="25257" xr:uid="{00000000-0005-0000-0000-0000A9620000}"/>
    <cellStyle name="Normal 305 3 5 2" xfId="25258" xr:uid="{00000000-0005-0000-0000-0000AA620000}"/>
    <cellStyle name="Normal 305 3 5 2 2" xfId="25259" xr:uid="{00000000-0005-0000-0000-0000AB620000}"/>
    <cellStyle name="Normal 305 3 5 3" xfId="25260" xr:uid="{00000000-0005-0000-0000-0000AC620000}"/>
    <cellStyle name="Normal 305 3 6" xfId="25261" xr:uid="{00000000-0005-0000-0000-0000AD620000}"/>
    <cellStyle name="Normal 305 4" xfId="25262" xr:uid="{00000000-0005-0000-0000-0000AE620000}"/>
    <cellStyle name="Normal 305 4 2" xfId="25263" xr:uid="{00000000-0005-0000-0000-0000AF620000}"/>
    <cellStyle name="Normal 305 4 2 2" xfId="25264" xr:uid="{00000000-0005-0000-0000-0000B0620000}"/>
    <cellStyle name="Normal 305 4 3" xfId="25265" xr:uid="{00000000-0005-0000-0000-0000B1620000}"/>
    <cellStyle name="Normal 305 5" xfId="25266" xr:uid="{00000000-0005-0000-0000-0000B2620000}"/>
    <cellStyle name="Normal 305 5 2" xfId="25267" xr:uid="{00000000-0005-0000-0000-0000B3620000}"/>
    <cellStyle name="Normal 305 5 2 2" xfId="25268" xr:uid="{00000000-0005-0000-0000-0000B4620000}"/>
    <cellStyle name="Normal 305 5 3" xfId="25269" xr:uid="{00000000-0005-0000-0000-0000B5620000}"/>
    <cellStyle name="Normal 305 6" xfId="25270" xr:uid="{00000000-0005-0000-0000-0000B6620000}"/>
    <cellStyle name="Normal 305 6 2" xfId="25271" xr:uid="{00000000-0005-0000-0000-0000B7620000}"/>
    <cellStyle name="Normal 305 6 2 2" xfId="25272" xr:uid="{00000000-0005-0000-0000-0000B8620000}"/>
    <cellStyle name="Normal 305 6 3" xfId="25273" xr:uid="{00000000-0005-0000-0000-0000B9620000}"/>
    <cellStyle name="Normal 305 7" xfId="25274" xr:uid="{00000000-0005-0000-0000-0000BA620000}"/>
    <cellStyle name="Normal 306" xfId="25275" xr:uid="{00000000-0005-0000-0000-0000BB620000}"/>
    <cellStyle name="Normal 306 2" xfId="25276" xr:uid="{00000000-0005-0000-0000-0000BC620000}"/>
    <cellStyle name="Normal 306 2 2" xfId="25277" xr:uid="{00000000-0005-0000-0000-0000BD620000}"/>
    <cellStyle name="Normal 306 2 2 2" xfId="25278" xr:uid="{00000000-0005-0000-0000-0000BE620000}"/>
    <cellStyle name="Normal 306 2 3" xfId="25279" xr:uid="{00000000-0005-0000-0000-0000BF620000}"/>
    <cellStyle name="Normal 306 2 3 2" xfId="25280" xr:uid="{00000000-0005-0000-0000-0000C0620000}"/>
    <cellStyle name="Normal 306 2 3 2 2" xfId="25281" xr:uid="{00000000-0005-0000-0000-0000C1620000}"/>
    <cellStyle name="Normal 306 2 3 3" xfId="25282" xr:uid="{00000000-0005-0000-0000-0000C2620000}"/>
    <cellStyle name="Normal 306 2 4" xfId="25283" xr:uid="{00000000-0005-0000-0000-0000C3620000}"/>
    <cellStyle name="Normal 306 2 4 2" xfId="25284" xr:uid="{00000000-0005-0000-0000-0000C4620000}"/>
    <cellStyle name="Normal 306 2 4 2 2" xfId="25285" xr:uid="{00000000-0005-0000-0000-0000C5620000}"/>
    <cellStyle name="Normal 306 2 4 3" xfId="25286" xr:uid="{00000000-0005-0000-0000-0000C6620000}"/>
    <cellStyle name="Normal 306 2 5" xfId="25287" xr:uid="{00000000-0005-0000-0000-0000C7620000}"/>
    <cellStyle name="Normal 306 3" xfId="25288" xr:uid="{00000000-0005-0000-0000-0000C8620000}"/>
    <cellStyle name="Normal 306 3 2" xfId="25289" xr:uid="{00000000-0005-0000-0000-0000C9620000}"/>
    <cellStyle name="Normal 306 3 2 2" xfId="25290" xr:uid="{00000000-0005-0000-0000-0000CA620000}"/>
    <cellStyle name="Normal 306 3 2 2 2" xfId="25291" xr:uid="{00000000-0005-0000-0000-0000CB620000}"/>
    <cellStyle name="Normal 306 3 2 3" xfId="25292" xr:uid="{00000000-0005-0000-0000-0000CC620000}"/>
    <cellStyle name="Normal 306 3 2 3 2" xfId="25293" xr:uid="{00000000-0005-0000-0000-0000CD620000}"/>
    <cellStyle name="Normal 306 3 2 3 2 2" xfId="25294" xr:uid="{00000000-0005-0000-0000-0000CE620000}"/>
    <cellStyle name="Normal 306 3 2 3 3" xfId="25295" xr:uid="{00000000-0005-0000-0000-0000CF620000}"/>
    <cellStyle name="Normal 306 3 2 4" xfId="25296" xr:uid="{00000000-0005-0000-0000-0000D0620000}"/>
    <cellStyle name="Normal 306 3 3" xfId="25297" xr:uid="{00000000-0005-0000-0000-0000D1620000}"/>
    <cellStyle name="Normal 306 3 3 2" xfId="25298" xr:uid="{00000000-0005-0000-0000-0000D2620000}"/>
    <cellStyle name="Normal 306 3 3 2 2" xfId="25299" xr:uid="{00000000-0005-0000-0000-0000D3620000}"/>
    <cellStyle name="Normal 306 3 3 3" xfId="25300" xr:uid="{00000000-0005-0000-0000-0000D4620000}"/>
    <cellStyle name="Normal 306 3 4" xfId="25301" xr:uid="{00000000-0005-0000-0000-0000D5620000}"/>
    <cellStyle name="Normal 306 3 4 2" xfId="25302" xr:uid="{00000000-0005-0000-0000-0000D6620000}"/>
    <cellStyle name="Normal 306 3 4 2 2" xfId="25303" xr:uid="{00000000-0005-0000-0000-0000D7620000}"/>
    <cellStyle name="Normal 306 3 4 3" xfId="25304" xr:uid="{00000000-0005-0000-0000-0000D8620000}"/>
    <cellStyle name="Normal 306 3 5" xfId="25305" xr:uid="{00000000-0005-0000-0000-0000D9620000}"/>
    <cellStyle name="Normal 306 3 5 2" xfId="25306" xr:uid="{00000000-0005-0000-0000-0000DA620000}"/>
    <cellStyle name="Normal 306 3 5 2 2" xfId="25307" xr:uid="{00000000-0005-0000-0000-0000DB620000}"/>
    <cellStyle name="Normal 306 3 5 3" xfId="25308" xr:uid="{00000000-0005-0000-0000-0000DC620000}"/>
    <cellStyle name="Normal 306 3 6" xfId="25309" xr:uid="{00000000-0005-0000-0000-0000DD620000}"/>
    <cellStyle name="Normal 306 4" xfId="25310" xr:uid="{00000000-0005-0000-0000-0000DE620000}"/>
    <cellStyle name="Normal 306 4 2" xfId="25311" xr:uid="{00000000-0005-0000-0000-0000DF620000}"/>
    <cellStyle name="Normal 306 4 2 2" xfId="25312" xr:uid="{00000000-0005-0000-0000-0000E0620000}"/>
    <cellStyle name="Normal 306 4 3" xfId="25313" xr:uid="{00000000-0005-0000-0000-0000E1620000}"/>
    <cellStyle name="Normal 306 5" xfId="25314" xr:uid="{00000000-0005-0000-0000-0000E2620000}"/>
    <cellStyle name="Normal 306 5 2" xfId="25315" xr:uid="{00000000-0005-0000-0000-0000E3620000}"/>
    <cellStyle name="Normal 306 5 2 2" xfId="25316" xr:uid="{00000000-0005-0000-0000-0000E4620000}"/>
    <cellStyle name="Normal 306 5 3" xfId="25317" xr:uid="{00000000-0005-0000-0000-0000E5620000}"/>
    <cellStyle name="Normal 306 6" xfId="25318" xr:uid="{00000000-0005-0000-0000-0000E6620000}"/>
    <cellStyle name="Normal 306 6 2" xfId="25319" xr:uid="{00000000-0005-0000-0000-0000E7620000}"/>
    <cellStyle name="Normal 306 6 2 2" xfId="25320" xr:uid="{00000000-0005-0000-0000-0000E8620000}"/>
    <cellStyle name="Normal 306 6 3" xfId="25321" xr:uid="{00000000-0005-0000-0000-0000E9620000}"/>
    <cellStyle name="Normal 306 7" xfId="25322" xr:uid="{00000000-0005-0000-0000-0000EA620000}"/>
    <cellStyle name="Normal 307" xfId="25323" xr:uid="{00000000-0005-0000-0000-0000EB620000}"/>
    <cellStyle name="Normal 307 2" xfId="25324" xr:uid="{00000000-0005-0000-0000-0000EC620000}"/>
    <cellStyle name="Normal 307 2 2" xfId="25325" xr:uid="{00000000-0005-0000-0000-0000ED620000}"/>
    <cellStyle name="Normal 307 2 2 2" xfId="25326" xr:uid="{00000000-0005-0000-0000-0000EE620000}"/>
    <cellStyle name="Normal 307 2 3" xfId="25327" xr:uid="{00000000-0005-0000-0000-0000EF620000}"/>
    <cellStyle name="Normal 307 2 3 2" xfId="25328" xr:uid="{00000000-0005-0000-0000-0000F0620000}"/>
    <cellStyle name="Normal 307 2 3 2 2" xfId="25329" xr:uid="{00000000-0005-0000-0000-0000F1620000}"/>
    <cellStyle name="Normal 307 2 3 3" xfId="25330" xr:uid="{00000000-0005-0000-0000-0000F2620000}"/>
    <cellStyle name="Normal 307 2 4" xfId="25331" xr:uid="{00000000-0005-0000-0000-0000F3620000}"/>
    <cellStyle name="Normal 307 2 4 2" xfId="25332" xr:uid="{00000000-0005-0000-0000-0000F4620000}"/>
    <cellStyle name="Normal 307 2 4 2 2" xfId="25333" xr:uid="{00000000-0005-0000-0000-0000F5620000}"/>
    <cellStyle name="Normal 307 2 4 3" xfId="25334" xr:uid="{00000000-0005-0000-0000-0000F6620000}"/>
    <cellStyle name="Normal 307 2 5" xfId="25335" xr:uid="{00000000-0005-0000-0000-0000F7620000}"/>
    <cellStyle name="Normal 307 3" xfId="25336" xr:uid="{00000000-0005-0000-0000-0000F8620000}"/>
    <cellStyle name="Normal 307 3 2" xfId="25337" xr:uid="{00000000-0005-0000-0000-0000F9620000}"/>
    <cellStyle name="Normal 307 3 2 2" xfId="25338" xr:uid="{00000000-0005-0000-0000-0000FA620000}"/>
    <cellStyle name="Normal 307 3 2 2 2" xfId="25339" xr:uid="{00000000-0005-0000-0000-0000FB620000}"/>
    <cellStyle name="Normal 307 3 2 3" xfId="25340" xr:uid="{00000000-0005-0000-0000-0000FC620000}"/>
    <cellStyle name="Normal 307 3 2 3 2" xfId="25341" xr:uid="{00000000-0005-0000-0000-0000FD620000}"/>
    <cellStyle name="Normal 307 3 2 3 2 2" xfId="25342" xr:uid="{00000000-0005-0000-0000-0000FE620000}"/>
    <cellStyle name="Normal 307 3 2 3 3" xfId="25343" xr:uid="{00000000-0005-0000-0000-0000FF620000}"/>
    <cellStyle name="Normal 307 3 2 4" xfId="25344" xr:uid="{00000000-0005-0000-0000-000000630000}"/>
    <cellStyle name="Normal 307 3 3" xfId="25345" xr:uid="{00000000-0005-0000-0000-000001630000}"/>
    <cellStyle name="Normal 307 3 3 2" xfId="25346" xr:uid="{00000000-0005-0000-0000-000002630000}"/>
    <cellStyle name="Normal 307 3 3 2 2" xfId="25347" xr:uid="{00000000-0005-0000-0000-000003630000}"/>
    <cellStyle name="Normal 307 3 3 3" xfId="25348" xr:uid="{00000000-0005-0000-0000-000004630000}"/>
    <cellStyle name="Normal 307 3 4" xfId="25349" xr:uid="{00000000-0005-0000-0000-000005630000}"/>
    <cellStyle name="Normal 307 3 4 2" xfId="25350" xr:uid="{00000000-0005-0000-0000-000006630000}"/>
    <cellStyle name="Normal 307 3 4 2 2" xfId="25351" xr:uid="{00000000-0005-0000-0000-000007630000}"/>
    <cellStyle name="Normal 307 3 4 3" xfId="25352" xr:uid="{00000000-0005-0000-0000-000008630000}"/>
    <cellStyle name="Normal 307 3 5" xfId="25353" xr:uid="{00000000-0005-0000-0000-000009630000}"/>
    <cellStyle name="Normal 307 3 5 2" xfId="25354" xr:uid="{00000000-0005-0000-0000-00000A630000}"/>
    <cellStyle name="Normal 307 3 5 2 2" xfId="25355" xr:uid="{00000000-0005-0000-0000-00000B630000}"/>
    <cellStyle name="Normal 307 3 5 3" xfId="25356" xr:uid="{00000000-0005-0000-0000-00000C630000}"/>
    <cellStyle name="Normal 307 3 6" xfId="25357" xr:uid="{00000000-0005-0000-0000-00000D630000}"/>
    <cellStyle name="Normal 307 4" xfId="25358" xr:uid="{00000000-0005-0000-0000-00000E630000}"/>
    <cellStyle name="Normal 307 4 2" xfId="25359" xr:uid="{00000000-0005-0000-0000-00000F630000}"/>
    <cellStyle name="Normal 307 4 2 2" xfId="25360" xr:uid="{00000000-0005-0000-0000-000010630000}"/>
    <cellStyle name="Normal 307 4 3" xfId="25361" xr:uid="{00000000-0005-0000-0000-000011630000}"/>
    <cellStyle name="Normal 307 5" xfId="25362" xr:uid="{00000000-0005-0000-0000-000012630000}"/>
    <cellStyle name="Normal 307 5 2" xfId="25363" xr:uid="{00000000-0005-0000-0000-000013630000}"/>
    <cellStyle name="Normal 307 5 2 2" xfId="25364" xr:uid="{00000000-0005-0000-0000-000014630000}"/>
    <cellStyle name="Normal 307 5 3" xfId="25365" xr:uid="{00000000-0005-0000-0000-000015630000}"/>
    <cellStyle name="Normal 307 6" xfId="25366" xr:uid="{00000000-0005-0000-0000-000016630000}"/>
    <cellStyle name="Normal 307 6 2" xfId="25367" xr:uid="{00000000-0005-0000-0000-000017630000}"/>
    <cellStyle name="Normal 307 6 2 2" xfId="25368" xr:uid="{00000000-0005-0000-0000-000018630000}"/>
    <cellStyle name="Normal 307 6 3" xfId="25369" xr:uid="{00000000-0005-0000-0000-000019630000}"/>
    <cellStyle name="Normal 307 7" xfId="25370" xr:uid="{00000000-0005-0000-0000-00001A630000}"/>
    <cellStyle name="Normal 308" xfId="25371" xr:uid="{00000000-0005-0000-0000-00001B630000}"/>
    <cellStyle name="Normal 308 2" xfId="25372" xr:uid="{00000000-0005-0000-0000-00001C630000}"/>
    <cellStyle name="Normal 308 2 2" xfId="25373" xr:uid="{00000000-0005-0000-0000-00001D630000}"/>
    <cellStyle name="Normal 308 2 2 2" xfId="25374" xr:uid="{00000000-0005-0000-0000-00001E630000}"/>
    <cellStyle name="Normal 308 2 3" xfId="25375" xr:uid="{00000000-0005-0000-0000-00001F630000}"/>
    <cellStyle name="Normal 308 2 3 2" xfId="25376" xr:uid="{00000000-0005-0000-0000-000020630000}"/>
    <cellStyle name="Normal 308 2 3 2 2" xfId="25377" xr:uid="{00000000-0005-0000-0000-000021630000}"/>
    <cellStyle name="Normal 308 2 3 3" xfId="25378" xr:uid="{00000000-0005-0000-0000-000022630000}"/>
    <cellStyle name="Normal 308 2 4" xfId="25379" xr:uid="{00000000-0005-0000-0000-000023630000}"/>
    <cellStyle name="Normal 308 2 4 2" xfId="25380" xr:uid="{00000000-0005-0000-0000-000024630000}"/>
    <cellStyle name="Normal 308 2 4 2 2" xfId="25381" xr:uid="{00000000-0005-0000-0000-000025630000}"/>
    <cellStyle name="Normal 308 2 4 3" xfId="25382" xr:uid="{00000000-0005-0000-0000-000026630000}"/>
    <cellStyle name="Normal 308 2 5" xfId="25383" xr:uid="{00000000-0005-0000-0000-000027630000}"/>
    <cellStyle name="Normal 308 3" xfId="25384" xr:uid="{00000000-0005-0000-0000-000028630000}"/>
    <cellStyle name="Normal 308 3 2" xfId="25385" xr:uid="{00000000-0005-0000-0000-000029630000}"/>
    <cellStyle name="Normal 308 3 2 2" xfId="25386" xr:uid="{00000000-0005-0000-0000-00002A630000}"/>
    <cellStyle name="Normal 308 3 2 2 2" xfId="25387" xr:uid="{00000000-0005-0000-0000-00002B630000}"/>
    <cellStyle name="Normal 308 3 2 3" xfId="25388" xr:uid="{00000000-0005-0000-0000-00002C630000}"/>
    <cellStyle name="Normal 308 3 2 3 2" xfId="25389" xr:uid="{00000000-0005-0000-0000-00002D630000}"/>
    <cellStyle name="Normal 308 3 2 3 2 2" xfId="25390" xr:uid="{00000000-0005-0000-0000-00002E630000}"/>
    <cellStyle name="Normal 308 3 2 3 3" xfId="25391" xr:uid="{00000000-0005-0000-0000-00002F630000}"/>
    <cellStyle name="Normal 308 3 2 4" xfId="25392" xr:uid="{00000000-0005-0000-0000-000030630000}"/>
    <cellStyle name="Normal 308 3 3" xfId="25393" xr:uid="{00000000-0005-0000-0000-000031630000}"/>
    <cellStyle name="Normal 308 3 3 2" xfId="25394" xr:uid="{00000000-0005-0000-0000-000032630000}"/>
    <cellStyle name="Normal 308 3 3 2 2" xfId="25395" xr:uid="{00000000-0005-0000-0000-000033630000}"/>
    <cellStyle name="Normal 308 3 3 3" xfId="25396" xr:uid="{00000000-0005-0000-0000-000034630000}"/>
    <cellStyle name="Normal 308 3 4" xfId="25397" xr:uid="{00000000-0005-0000-0000-000035630000}"/>
    <cellStyle name="Normal 308 3 4 2" xfId="25398" xr:uid="{00000000-0005-0000-0000-000036630000}"/>
    <cellStyle name="Normal 308 3 4 2 2" xfId="25399" xr:uid="{00000000-0005-0000-0000-000037630000}"/>
    <cellStyle name="Normal 308 3 4 3" xfId="25400" xr:uid="{00000000-0005-0000-0000-000038630000}"/>
    <cellStyle name="Normal 308 3 5" xfId="25401" xr:uid="{00000000-0005-0000-0000-000039630000}"/>
    <cellStyle name="Normal 308 3 5 2" xfId="25402" xr:uid="{00000000-0005-0000-0000-00003A630000}"/>
    <cellStyle name="Normal 308 3 5 2 2" xfId="25403" xr:uid="{00000000-0005-0000-0000-00003B630000}"/>
    <cellStyle name="Normal 308 3 5 3" xfId="25404" xr:uid="{00000000-0005-0000-0000-00003C630000}"/>
    <cellStyle name="Normal 308 3 6" xfId="25405" xr:uid="{00000000-0005-0000-0000-00003D630000}"/>
    <cellStyle name="Normal 308 4" xfId="25406" xr:uid="{00000000-0005-0000-0000-00003E630000}"/>
    <cellStyle name="Normal 308 4 2" xfId="25407" xr:uid="{00000000-0005-0000-0000-00003F630000}"/>
    <cellStyle name="Normal 308 4 2 2" xfId="25408" xr:uid="{00000000-0005-0000-0000-000040630000}"/>
    <cellStyle name="Normal 308 4 3" xfId="25409" xr:uid="{00000000-0005-0000-0000-000041630000}"/>
    <cellStyle name="Normal 308 5" xfId="25410" xr:uid="{00000000-0005-0000-0000-000042630000}"/>
    <cellStyle name="Normal 308 5 2" xfId="25411" xr:uid="{00000000-0005-0000-0000-000043630000}"/>
    <cellStyle name="Normal 308 5 2 2" xfId="25412" xr:uid="{00000000-0005-0000-0000-000044630000}"/>
    <cellStyle name="Normal 308 5 3" xfId="25413" xr:uid="{00000000-0005-0000-0000-000045630000}"/>
    <cellStyle name="Normal 308 6" xfId="25414" xr:uid="{00000000-0005-0000-0000-000046630000}"/>
    <cellStyle name="Normal 308 6 2" xfId="25415" xr:uid="{00000000-0005-0000-0000-000047630000}"/>
    <cellStyle name="Normal 308 6 2 2" xfId="25416" xr:uid="{00000000-0005-0000-0000-000048630000}"/>
    <cellStyle name="Normal 308 6 3" xfId="25417" xr:uid="{00000000-0005-0000-0000-000049630000}"/>
    <cellStyle name="Normal 308 7" xfId="25418" xr:uid="{00000000-0005-0000-0000-00004A630000}"/>
    <cellStyle name="Normal 309" xfId="25419" xr:uid="{00000000-0005-0000-0000-00004B630000}"/>
    <cellStyle name="Normal 309 2" xfId="25420" xr:uid="{00000000-0005-0000-0000-00004C630000}"/>
    <cellStyle name="Normal 309 2 2" xfId="25421" xr:uid="{00000000-0005-0000-0000-00004D630000}"/>
    <cellStyle name="Normal 309 2 2 2" xfId="25422" xr:uid="{00000000-0005-0000-0000-00004E630000}"/>
    <cellStyle name="Normal 309 2 3" xfId="25423" xr:uid="{00000000-0005-0000-0000-00004F630000}"/>
    <cellStyle name="Normal 309 2 3 2" xfId="25424" xr:uid="{00000000-0005-0000-0000-000050630000}"/>
    <cellStyle name="Normal 309 2 3 2 2" xfId="25425" xr:uid="{00000000-0005-0000-0000-000051630000}"/>
    <cellStyle name="Normal 309 2 3 3" xfId="25426" xr:uid="{00000000-0005-0000-0000-000052630000}"/>
    <cellStyle name="Normal 309 2 4" xfId="25427" xr:uid="{00000000-0005-0000-0000-000053630000}"/>
    <cellStyle name="Normal 309 2 4 2" xfId="25428" xr:uid="{00000000-0005-0000-0000-000054630000}"/>
    <cellStyle name="Normal 309 2 4 2 2" xfId="25429" xr:uid="{00000000-0005-0000-0000-000055630000}"/>
    <cellStyle name="Normal 309 2 4 3" xfId="25430" xr:uid="{00000000-0005-0000-0000-000056630000}"/>
    <cellStyle name="Normal 309 2 5" xfId="25431" xr:uid="{00000000-0005-0000-0000-000057630000}"/>
    <cellStyle name="Normal 309 3" xfId="25432" xr:uid="{00000000-0005-0000-0000-000058630000}"/>
    <cellStyle name="Normal 309 3 2" xfId="25433" xr:uid="{00000000-0005-0000-0000-000059630000}"/>
    <cellStyle name="Normal 309 3 2 2" xfId="25434" xr:uid="{00000000-0005-0000-0000-00005A630000}"/>
    <cellStyle name="Normal 309 3 2 2 2" xfId="25435" xr:uid="{00000000-0005-0000-0000-00005B630000}"/>
    <cellStyle name="Normal 309 3 2 3" xfId="25436" xr:uid="{00000000-0005-0000-0000-00005C630000}"/>
    <cellStyle name="Normal 309 3 2 3 2" xfId="25437" xr:uid="{00000000-0005-0000-0000-00005D630000}"/>
    <cellStyle name="Normal 309 3 2 3 2 2" xfId="25438" xr:uid="{00000000-0005-0000-0000-00005E630000}"/>
    <cellStyle name="Normal 309 3 2 3 3" xfId="25439" xr:uid="{00000000-0005-0000-0000-00005F630000}"/>
    <cellStyle name="Normal 309 3 2 4" xfId="25440" xr:uid="{00000000-0005-0000-0000-000060630000}"/>
    <cellStyle name="Normal 309 3 3" xfId="25441" xr:uid="{00000000-0005-0000-0000-000061630000}"/>
    <cellStyle name="Normal 309 3 3 2" xfId="25442" xr:uid="{00000000-0005-0000-0000-000062630000}"/>
    <cellStyle name="Normal 309 3 3 2 2" xfId="25443" xr:uid="{00000000-0005-0000-0000-000063630000}"/>
    <cellStyle name="Normal 309 3 3 3" xfId="25444" xr:uid="{00000000-0005-0000-0000-000064630000}"/>
    <cellStyle name="Normal 309 3 4" xfId="25445" xr:uid="{00000000-0005-0000-0000-000065630000}"/>
    <cellStyle name="Normal 309 3 4 2" xfId="25446" xr:uid="{00000000-0005-0000-0000-000066630000}"/>
    <cellStyle name="Normal 309 3 4 2 2" xfId="25447" xr:uid="{00000000-0005-0000-0000-000067630000}"/>
    <cellStyle name="Normal 309 3 4 3" xfId="25448" xr:uid="{00000000-0005-0000-0000-000068630000}"/>
    <cellStyle name="Normal 309 3 5" xfId="25449" xr:uid="{00000000-0005-0000-0000-000069630000}"/>
    <cellStyle name="Normal 309 3 5 2" xfId="25450" xr:uid="{00000000-0005-0000-0000-00006A630000}"/>
    <cellStyle name="Normal 309 3 5 2 2" xfId="25451" xr:uid="{00000000-0005-0000-0000-00006B630000}"/>
    <cellStyle name="Normal 309 3 5 3" xfId="25452" xr:uid="{00000000-0005-0000-0000-00006C630000}"/>
    <cellStyle name="Normal 309 3 6" xfId="25453" xr:uid="{00000000-0005-0000-0000-00006D630000}"/>
    <cellStyle name="Normal 309 4" xfId="25454" xr:uid="{00000000-0005-0000-0000-00006E630000}"/>
    <cellStyle name="Normal 309 4 2" xfId="25455" xr:uid="{00000000-0005-0000-0000-00006F630000}"/>
    <cellStyle name="Normal 309 4 2 2" xfId="25456" xr:uid="{00000000-0005-0000-0000-000070630000}"/>
    <cellStyle name="Normal 309 4 3" xfId="25457" xr:uid="{00000000-0005-0000-0000-000071630000}"/>
    <cellStyle name="Normal 309 5" xfId="25458" xr:uid="{00000000-0005-0000-0000-000072630000}"/>
    <cellStyle name="Normal 309 5 2" xfId="25459" xr:uid="{00000000-0005-0000-0000-000073630000}"/>
    <cellStyle name="Normal 309 5 2 2" xfId="25460" xr:uid="{00000000-0005-0000-0000-000074630000}"/>
    <cellStyle name="Normal 309 5 3" xfId="25461" xr:uid="{00000000-0005-0000-0000-000075630000}"/>
    <cellStyle name="Normal 309 6" xfId="25462" xr:uid="{00000000-0005-0000-0000-000076630000}"/>
    <cellStyle name="Normal 309 6 2" xfId="25463" xr:uid="{00000000-0005-0000-0000-000077630000}"/>
    <cellStyle name="Normal 309 6 2 2" xfId="25464" xr:uid="{00000000-0005-0000-0000-000078630000}"/>
    <cellStyle name="Normal 309 6 3" xfId="25465" xr:uid="{00000000-0005-0000-0000-000079630000}"/>
    <cellStyle name="Normal 309 7" xfId="25466" xr:uid="{00000000-0005-0000-0000-00007A630000}"/>
    <cellStyle name="Normal 31" xfId="12" xr:uid="{00000000-0005-0000-0000-00000C000000}"/>
    <cellStyle name="Normal 31 2" xfId="25467" xr:uid="{00000000-0005-0000-0000-00007B630000}"/>
    <cellStyle name="Normal 31 2 2" xfId="25468" xr:uid="{00000000-0005-0000-0000-00007C630000}"/>
    <cellStyle name="Normal 31 2 2 2" xfId="25469" xr:uid="{00000000-0005-0000-0000-00007D630000}"/>
    <cellStyle name="Normal 31 2 2 2 2" xfId="25470" xr:uid="{00000000-0005-0000-0000-00007E630000}"/>
    <cellStyle name="Normal 31 2 2 3" xfId="25471" xr:uid="{00000000-0005-0000-0000-00007F630000}"/>
    <cellStyle name="Normal 31 2 2 3 2" xfId="25472" xr:uid="{00000000-0005-0000-0000-000080630000}"/>
    <cellStyle name="Normal 31 2 2 3 2 2" xfId="25473" xr:uid="{00000000-0005-0000-0000-000081630000}"/>
    <cellStyle name="Normal 31 2 2 3 3" xfId="25474" xr:uid="{00000000-0005-0000-0000-000082630000}"/>
    <cellStyle name="Normal 31 2 2 4" xfId="25475" xr:uid="{00000000-0005-0000-0000-000083630000}"/>
    <cellStyle name="Normal 31 2 2 4 2" xfId="25476" xr:uid="{00000000-0005-0000-0000-000084630000}"/>
    <cellStyle name="Normal 31 2 2 4 2 2" xfId="25477" xr:uid="{00000000-0005-0000-0000-000085630000}"/>
    <cellStyle name="Normal 31 2 2 4 3" xfId="25478" xr:uid="{00000000-0005-0000-0000-000086630000}"/>
    <cellStyle name="Normal 31 2 2 5" xfId="25479" xr:uid="{00000000-0005-0000-0000-000087630000}"/>
    <cellStyle name="Normal 31 2 3" xfId="25480" xr:uid="{00000000-0005-0000-0000-000088630000}"/>
    <cellStyle name="Normal 31 2 3 2" xfId="25481" xr:uid="{00000000-0005-0000-0000-000089630000}"/>
    <cellStyle name="Normal 31 2 3 2 2" xfId="25482" xr:uid="{00000000-0005-0000-0000-00008A630000}"/>
    <cellStyle name="Normal 31 2 3 3" xfId="25483" xr:uid="{00000000-0005-0000-0000-00008B630000}"/>
    <cellStyle name="Normal 31 2 4" xfId="25484" xr:uid="{00000000-0005-0000-0000-00008C630000}"/>
    <cellStyle name="Normal 31 2 4 2" xfId="25485" xr:uid="{00000000-0005-0000-0000-00008D630000}"/>
    <cellStyle name="Normal 31 2 4 2 2" xfId="25486" xr:uid="{00000000-0005-0000-0000-00008E630000}"/>
    <cellStyle name="Normal 31 2 4 3" xfId="25487" xr:uid="{00000000-0005-0000-0000-00008F630000}"/>
    <cellStyle name="Normal 31 2 5" xfId="25488" xr:uid="{00000000-0005-0000-0000-000090630000}"/>
    <cellStyle name="Normal 31 2 5 2" xfId="25489" xr:uid="{00000000-0005-0000-0000-000091630000}"/>
    <cellStyle name="Normal 31 2 5 2 2" xfId="25490" xr:uid="{00000000-0005-0000-0000-000092630000}"/>
    <cellStyle name="Normal 31 2 5 3" xfId="25491" xr:uid="{00000000-0005-0000-0000-000093630000}"/>
    <cellStyle name="Normal 31 2 6" xfId="25492" xr:uid="{00000000-0005-0000-0000-000094630000}"/>
    <cellStyle name="Normal 31 3" xfId="25493" xr:uid="{00000000-0005-0000-0000-000095630000}"/>
    <cellStyle name="Normal 31 3 2" xfId="25494" xr:uid="{00000000-0005-0000-0000-000096630000}"/>
    <cellStyle name="Normal 31 3 2 2" xfId="25495" xr:uid="{00000000-0005-0000-0000-000097630000}"/>
    <cellStyle name="Normal 31 3 3" xfId="25496" xr:uid="{00000000-0005-0000-0000-000098630000}"/>
    <cellStyle name="Normal 31 3 3 2" xfId="25497" xr:uid="{00000000-0005-0000-0000-000099630000}"/>
    <cellStyle name="Normal 31 3 3 2 2" xfId="25498" xr:uid="{00000000-0005-0000-0000-00009A630000}"/>
    <cellStyle name="Normal 31 3 3 3" xfId="25499" xr:uid="{00000000-0005-0000-0000-00009B630000}"/>
    <cellStyle name="Normal 31 3 4" xfId="25500" xr:uid="{00000000-0005-0000-0000-00009C630000}"/>
    <cellStyle name="Normal 31 3 4 2" xfId="25501" xr:uid="{00000000-0005-0000-0000-00009D630000}"/>
    <cellStyle name="Normal 31 3 4 2 2" xfId="25502" xr:uid="{00000000-0005-0000-0000-00009E630000}"/>
    <cellStyle name="Normal 31 3 4 3" xfId="25503" xr:uid="{00000000-0005-0000-0000-00009F630000}"/>
    <cellStyle name="Normal 31 3 5" xfId="25504" xr:uid="{00000000-0005-0000-0000-0000A0630000}"/>
    <cellStyle name="Normal 31 4" xfId="25505" xr:uid="{00000000-0005-0000-0000-0000A1630000}"/>
    <cellStyle name="Normal 31 4 2" xfId="25506" xr:uid="{00000000-0005-0000-0000-0000A2630000}"/>
    <cellStyle name="Normal 31 4 2 2" xfId="25507" xr:uid="{00000000-0005-0000-0000-0000A3630000}"/>
    <cellStyle name="Normal 31 4 3" xfId="25508" xr:uid="{00000000-0005-0000-0000-0000A4630000}"/>
    <cellStyle name="Normal 31 5" xfId="25509" xr:uid="{00000000-0005-0000-0000-0000A5630000}"/>
    <cellStyle name="Normal 31 5 2" xfId="25510" xr:uid="{00000000-0005-0000-0000-0000A6630000}"/>
    <cellStyle name="Normal 31 5 2 2" xfId="25511" xr:uid="{00000000-0005-0000-0000-0000A7630000}"/>
    <cellStyle name="Normal 31 5 3" xfId="25512" xr:uid="{00000000-0005-0000-0000-0000A8630000}"/>
    <cellStyle name="Normal 31 6" xfId="25513" xr:uid="{00000000-0005-0000-0000-0000A9630000}"/>
    <cellStyle name="Normal 31 6 2" xfId="25514" xr:uid="{00000000-0005-0000-0000-0000AA630000}"/>
    <cellStyle name="Normal 31 6 2 2" xfId="25515" xr:uid="{00000000-0005-0000-0000-0000AB630000}"/>
    <cellStyle name="Normal 31 6 3" xfId="25516" xr:uid="{00000000-0005-0000-0000-0000AC630000}"/>
    <cellStyle name="Normal 31 7" xfId="25517" xr:uid="{00000000-0005-0000-0000-0000AD630000}"/>
    <cellStyle name="Normal 310" xfId="25518" xr:uid="{00000000-0005-0000-0000-0000AE630000}"/>
    <cellStyle name="Normal 310 2" xfId="25519" xr:uid="{00000000-0005-0000-0000-0000AF630000}"/>
    <cellStyle name="Normal 310 2 2" xfId="25520" xr:uid="{00000000-0005-0000-0000-0000B0630000}"/>
    <cellStyle name="Normal 310 2 2 2" xfId="25521" xr:uid="{00000000-0005-0000-0000-0000B1630000}"/>
    <cellStyle name="Normal 310 2 3" xfId="25522" xr:uid="{00000000-0005-0000-0000-0000B2630000}"/>
    <cellStyle name="Normal 310 2 3 2" xfId="25523" xr:uid="{00000000-0005-0000-0000-0000B3630000}"/>
    <cellStyle name="Normal 310 2 3 2 2" xfId="25524" xr:uid="{00000000-0005-0000-0000-0000B4630000}"/>
    <cellStyle name="Normal 310 2 3 3" xfId="25525" xr:uid="{00000000-0005-0000-0000-0000B5630000}"/>
    <cellStyle name="Normal 310 2 4" xfId="25526" xr:uid="{00000000-0005-0000-0000-0000B6630000}"/>
    <cellStyle name="Normal 310 2 4 2" xfId="25527" xr:uid="{00000000-0005-0000-0000-0000B7630000}"/>
    <cellStyle name="Normal 310 2 4 2 2" xfId="25528" xr:uid="{00000000-0005-0000-0000-0000B8630000}"/>
    <cellStyle name="Normal 310 2 4 3" xfId="25529" xr:uid="{00000000-0005-0000-0000-0000B9630000}"/>
    <cellStyle name="Normal 310 2 5" xfId="25530" xr:uid="{00000000-0005-0000-0000-0000BA630000}"/>
    <cellStyle name="Normal 310 3" xfId="25531" xr:uid="{00000000-0005-0000-0000-0000BB630000}"/>
    <cellStyle name="Normal 310 3 2" xfId="25532" xr:uid="{00000000-0005-0000-0000-0000BC630000}"/>
    <cellStyle name="Normal 310 3 2 2" xfId="25533" xr:uid="{00000000-0005-0000-0000-0000BD630000}"/>
    <cellStyle name="Normal 310 3 2 2 2" xfId="25534" xr:uid="{00000000-0005-0000-0000-0000BE630000}"/>
    <cellStyle name="Normal 310 3 2 3" xfId="25535" xr:uid="{00000000-0005-0000-0000-0000BF630000}"/>
    <cellStyle name="Normal 310 3 2 3 2" xfId="25536" xr:uid="{00000000-0005-0000-0000-0000C0630000}"/>
    <cellStyle name="Normal 310 3 2 3 2 2" xfId="25537" xr:uid="{00000000-0005-0000-0000-0000C1630000}"/>
    <cellStyle name="Normal 310 3 2 3 3" xfId="25538" xr:uid="{00000000-0005-0000-0000-0000C2630000}"/>
    <cellStyle name="Normal 310 3 2 4" xfId="25539" xr:uid="{00000000-0005-0000-0000-0000C3630000}"/>
    <cellStyle name="Normal 310 3 3" xfId="25540" xr:uid="{00000000-0005-0000-0000-0000C4630000}"/>
    <cellStyle name="Normal 310 3 3 2" xfId="25541" xr:uid="{00000000-0005-0000-0000-0000C5630000}"/>
    <cellStyle name="Normal 310 3 3 2 2" xfId="25542" xr:uid="{00000000-0005-0000-0000-0000C6630000}"/>
    <cellStyle name="Normal 310 3 3 3" xfId="25543" xr:uid="{00000000-0005-0000-0000-0000C7630000}"/>
    <cellStyle name="Normal 310 3 4" xfId="25544" xr:uid="{00000000-0005-0000-0000-0000C8630000}"/>
    <cellStyle name="Normal 310 3 4 2" xfId="25545" xr:uid="{00000000-0005-0000-0000-0000C9630000}"/>
    <cellStyle name="Normal 310 3 4 2 2" xfId="25546" xr:uid="{00000000-0005-0000-0000-0000CA630000}"/>
    <cellStyle name="Normal 310 3 4 3" xfId="25547" xr:uid="{00000000-0005-0000-0000-0000CB630000}"/>
    <cellStyle name="Normal 310 3 5" xfId="25548" xr:uid="{00000000-0005-0000-0000-0000CC630000}"/>
    <cellStyle name="Normal 310 3 5 2" xfId="25549" xr:uid="{00000000-0005-0000-0000-0000CD630000}"/>
    <cellStyle name="Normal 310 3 5 2 2" xfId="25550" xr:uid="{00000000-0005-0000-0000-0000CE630000}"/>
    <cellStyle name="Normal 310 3 5 3" xfId="25551" xr:uid="{00000000-0005-0000-0000-0000CF630000}"/>
    <cellStyle name="Normal 310 3 6" xfId="25552" xr:uid="{00000000-0005-0000-0000-0000D0630000}"/>
    <cellStyle name="Normal 310 4" xfId="25553" xr:uid="{00000000-0005-0000-0000-0000D1630000}"/>
    <cellStyle name="Normal 310 4 2" xfId="25554" xr:uid="{00000000-0005-0000-0000-0000D2630000}"/>
    <cellStyle name="Normal 310 4 2 2" xfId="25555" xr:uid="{00000000-0005-0000-0000-0000D3630000}"/>
    <cellStyle name="Normal 310 4 3" xfId="25556" xr:uid="{00000000-0005-0000-0000-0000D4630000}"/>
    <cellStyle name="Normal 310 5" xfId="25557" xr:uid="{00000000-0005-0000-0000-0000D5630000}"/>
    <cellStyle name="Normal 310 5 2" xfId="25558" xr:uid="{00000000-0005-0000-0000-0000D6630000}"/>
    <cellStyle name="Normal 310 5 2 2" xfId="25559" xr:uid="{00000000-0005-0000-0000-0000D7630000}"/>
    <cellStyle name="Normal 310 5 3" xfId="25560" xr:uid="{00000000-0005-0000-0000-0000D8630000}"/>
    <cellStyle name="Normal 310 6" xfId="25561" xr:uid="{00000000-0005-0000-0000-0000D9630000}"/>
    <cellStyle name="Normal 310 6 2" xfId="25562" xr:uid="{00000000-0005-0000-0000-0000DA630000}"/>
    <cellStyle name="Normal 310 6 2 2" xfId="25563" xr:uid="{00000000-0005-0000-0000-0000DB630000}"/>
    <cellStyle name="Normal 310 6 3" xfId="25564" xr:uid="{00000000-0005-0000-0000-0000DC630000}"/>
    <cellStyle name="Normal 310 7" xfId="25565" xr:uid="{00000000-0005-0000-0000-0000DD630000}"/>
    <cellStyle name="Normal 311" xfId="25566" xr:uid="{00000000-0005-0000-0000-0000DE630000}"/>
    <cellStyle name="Normal 311 2" xfId="25567" xr:uid="{00000000-0005-0000-0000-0000DF630000}"/>
    <cellStyle name="Normal 311 2 2" xfId="25568" xr:uid="{00000000-0005-0000-0000-0000E0630000}"/>
    <cellStyle name="Normal 311 2 2 2" xfId="25569" xr:uid="{00000000-0005-0000-0000-0000E1630000}"/>
    <cellStyle name="Normal 311 2 3" xfId="25570" xr:uid="{00000000-0005-0000-0000-0000E2630000}"/>
    <cellStyle name="Normal 311 2 3 2" xfId="25571" xr:uid="{00000000-0005-0000-0000-0000E3630000}"/>
    <cellStyle name="Normal 311 2 3 2 2" xfId="25572" xr:uid="{00000000-0005-0000-0000-0000E4630000}"/>
    <cellStyle name="Normal 311 2 3 3" xfId="25573" xr:uid="{00000000-0005-0000-0000-0000E5630000}"/>
    <cellStyle name="Normal 311 2 4" xfId="25574" xr:uid="{00000000-0005-0000-0000-0000E6630000}"/>
    <cellStyle name="Normal 311 2 4 2" xfId="25575" xr:uid="{00000000-0005-0000-0000-0000E7630000}"/>
    <cellStyle name="Normal 311 2 4 2 2" xfId="25576" xr:uid="{00000000-0005-0000-0000-0000E8630000}"/>
    <cellStyle name="Normal 311 2 4 3" xfId="25577" xr:uid="{00000000-0005-0000-0000-0000E9630000}"/>
    <cellStyle name="Normal 311 2 5" xfId="25578" xr:uid="{00000000-0005-0000-0000-0000EA630000}"/>
    <cellStyle name="Normal 311 3" xfId="25579" xr:uid="{00000000-0005-0000-0000-0000EB630000}"/>
    <cellStyle name="Normal 311 3 2" xfId="25580" xr:uid="{00000000-0005-0000-0000-0000EC630000}"/>
    <cellStyle name="Normal 311 3 2 2" xfId="25581" xr:uid="{00000000-0005-0000-0000-0000ED630000}"/>
    <cellStyle name="Normal 311 3 2 2 2" xfId="25582" xr:uid="{00000000-0005-0000-0000-0000EE630000}"/>
    <cellStyle name="Normal 311 3 2 3" xfId="25583" xr:uid="{00000000-0005-0000-0000-0000EF630000}"/>
    <cellStyle name="Normal 311 3 2 3 2" xfId="25584" xr:uid="{00000000-0005-0000-0000-0000F0630000}"/>
    <cellStyle name="Normal 311 3 2 3 2 2" xfId="25585" xr:uid="{00000000-0005-0000-0000-0000F1630000}"/>
    <cellStyle name="Normal 311 3 2 3 3" xfId="25586" xr:uid="{00000000-0005-0000-0000-0000F2630000}"/>
    <cellStyle name="Normal 311 3 2 4" xfId="25587" xr:uid="{00000000-0005-0000-0000-0000F3630000}"/>
    <cellStyle name="Normal 311 3 3" xfId="25588" xr:uid="{00000000-0005-0000-0000-0000F4630000}"/>
    <cellStyle name="Normal 311 3 3 2" xfId="25589" xr:uid="{00000000-0005-0000-0000-0000F5630000}"/>
    <cellStyle name="Normal 311 3 3 2 2" xfId="25590" xr:uid="{00000000-0005-0000-0000-0000F6630000}"/>
    <cellStyle name="Normal 311 3 3 3" xfId="25591" xr:uid="{00000000-0005-0000-0000-0000F7630000}"/>
    <cellStyle name="Normal 311 3 4" xfId="25592" xr:uid="{00000000-0005-0000-0000-0000F8630000}"/>
    <cellStyle name="Normal 311 3 4 2" xfId="25593" xr:uid="{00000000-0005-0000-0000-0000F9630000}"/>
    <cellStyle name="Normal 311 3 4 2 2" xfId="25594" xr:uid="{00000000-0005-0000-0000-0000FA630000}"/>
    <cellStyle name="Normal 311 3 4 3" xfId="25595" xr:uid="{00000000-0005-0000-0000-0000FB630000}"/>
    <cellStyle name="Normal 311 3 5" xfId="25596" xr:uid="{00000000-0005-0000-0000-0000FC630000}"/>
    <cellStyle name="Normal 311 3 5 2" xfId="25597" xr:uid="{00000000-0005-0000-0000-0000FD630000}"/>
    <cellStyle name="Normal 311 3 5 2 2" xfId="25598" xr:uid="{00000000-0005-0000-0000-0000FE630000}"/>
    <cellStyle name="Normal 311 3 5 3" xfId="25599" xr:uid="{00000000-0005-0000-0000-0000FF630000}"/>
    <cellStyle name="Normal 311 3 6" xfId="25600" xr:uid="{00000000-0005-0000-0000-000000640000}"/>
    <cellStyle name="Normal 311 4" xfId="25601" xr:uid="{00000000-0005-0000-0000-000001640000}"/>
    <cellStyle name="Normal 311 4 2" xfId="25602" xr:uid="{00000000-0005-0000-0000-000002640000}"/>
    <cellStyle name="Normal 311 4 2 2" xfId="25603" xr:uid="{00000000-0005-0000-0000-000003640000}"/>
    <cellStyle name="Normal 311 4 3" xfId="25604" xr:uid="{00000000-0005-0000-0000-000004640000}"/>
    <cellStyle name="Normal 311 5" xfId="25605" xr:uid="{00000000-0005-0000-0000-000005640000}"/>
    <cellStyle name="Normal 311 5 2" xfId="25606" xr:uid="{00000000-0005-0000-0000-000006640000}"/>
    <cellStyle name="Normal 311 5 2 2" xfId="25607" xr:uid="{00000000-0005-0000-0000-000007640000}"/>
    <cellStyle name="Normal 311 5 3" xfId="25608" xr:uid="{00000000-0005-0000-0000-000008640000}"/>
    <cellStyle name="Normal 311 6" xfId="25609" xr:uid="{00000000-0005-0000-0000-000009640000}"/>
    <cellStyle name="Normal 311 6 2" xfId="25610" xr:uid="{00000000-0005-0000-0000-00000A640000}"/>
    <cellStyle name="Normal 311 6 2 2" xfId="25611" xr:uid="{00000000-0005-0000-0000-00000B640000}"/>
    <cellStyle name="Normal 311 6 3" xfId="25612" xr:uid="{00000000-0005-0000-0000-00000C640000}"/>
    <cellStyle name="Normal 311 7" xfId="25613" xr:uid="{00000000-0005-0000-0000-00000D640000}"/>
    <cellStyle name="Normal 312" xfId="25614" xr:uid="{00000000-0005-0000-0000-00000E640000}"/>
    <cellStyle name="Normal 312 2" xfId="25615" xr:uid="{00000000-0005-0000-0000-00000F640000}"/>
    <cellStyle name="Normal 312 2 2" xfId="25616" xr:uid="{00000000-0005-0000-0000-000010640000}"/>
    <cellStyle name="Normal 312 2 2 2" xfId="25617" xr:uid="{00000000-0005-0000-0000-000011640000}"/>
    <cellStyle name="Normal 312 2 3" xfId="25618" xr:uid="{00000000-0005-0000-0000-000012640000}"/>
    <cellStyle name="Normal 312 2 3 2" xfId="25619" xr:uid="{00000000-0005-0000-0000-000013640000}"/>
    <cellStyle name="Normal 312 2 3 2 2" xfId="25620" xr:uid="{00000000-0005-0000-0000-000014640000}"/>
    <cellStyle name="Normal 312 2 3 3" xfId="25621" xr:uid="{00000000-0005-0000-0000-000015640000}"/>
    <cellStyle name="Normal 312 2 4" xfId="25622" xr:uid="{00000000-0005-0000-0000-000016640000}"/>
    <cellStyle name="Normal 312 2 4 2" xfId="25623" xr:uid="{00000000-0005-0000-0000-000017640000}"/>
    <cellStyle name="Normal 312 2 4 2 2" xfId="25624" xr:uid="{00000000-0005-0000-0000-000018640000}"/>
    <cellStyle name="Normal 312 2 4 3" xfId="25625" xr:uid="{00000000-0005-0000-0000-000019640000}"/>
    <cellStyle name="Normal 312 2 5" xfId="25626" xr:uid="{00000000-0005-0000-0000-00001A640000}"/>
    <cellStyle name="Normal 312 3" xfId="25627" xr:uid="{00000000-0005-0000-0000-00001B640000}"/>
    <cellStyle name="Normal 312 3 2" xfId="25628" xr:uid="{00000000-0005-0000-0000-00001C640000}"/>
    <cellStyle name="Normal 312 3 2 2" xfId="25629" xr:uid="{00000000-0005-0000-0000-00001D640000}"/>
    <cellStyle name="Normal 312 3 2 2 2" xfId="25630" xr:uid="{00000000-0005-0000-0000-00001E640000}"/>
    <cellStyle name="Normal 312 3 2 3" xfId="25631" xr:uid="{00000000-0005-0000-0000-00001F640000}"/>
    <cellStyle name="Normal 312 3 2 3 2" xfId="25632" xr:uid="{00000000-0005-0000-0000-000020640000}"/>
    <cellStyle name="Normal 312 3 2 3 2 2" xfId="25633" xr:uid="{00000000-0005-0000-0000-000021640000}"/>
    <cellStyle name="Normal 312 3 2 3 3" xfId="25634" xr:uid="{00000000-0005-0000-0000-000022640000}"/>
    <cellStyle name="Normal 312 3 2 4" xfId="25635" xr:uid="{00000000-0005-0000-0000-000023640000}"/>
    <cellStyle name="Normal 312 3 3" xfId="25636" xr:uid="{00000000-0005-0000-0000-000024640000}"/>
    <cellStyle name="Normal 312 3 3 2" xfId="25637" xr:uid="{00000000-0005-0000-0000-000025640000}"/>
    <cellStyle name="Normal 312 3 3 2 2" xfId="25638" xr:uid="{00000000-0005-0000-0000-000026640000}"/>
    <cellStyle name="Normal 312 3 3 3" xfId="25639" xr:uid="{00000000-0005-0000-0000-000027640000}"/>
    <cellStyle name="Normal 312 3 4" xfId="25640" xr:uid="{00000000-0005-0000-0000-000028640000}"/>
    <cellStyle name="Normal 312 3 4 2" xfId="25641" xr:uid="{00000000-0005-0000-0000-000029640000}"/>
    <cellStyle name="Normal 312 3 4 2 2" xfId="25642" xr:uid="{00000000-0005-0000-0000-00002A640000}"/>
    <cellStyle name="Normal 312 3 4 3" xfId="25643" xr:uid="{00000000-0005-0000-0000-00002B640000}"/>
    <cellStyle name="Normal 312 3 5" xfId="25644" xr:uid="{00000000-0005-0000-0000-00002C640000}"/>
    <cellStyle name="Normal 312 3 5 2" xfId="25645" xr:uid="{00000000-0005-0000-0000-00002D640000}"/>
    <cellStyle name="Normal 312 3 5 2 2" xfId="25646" xr:uid="{00000000-0005-0000-0000-00002E640000}"/>
    <cellStyle name="Normal 312 3 5 3" xfId="25647" xr:uid="{00000000-0005-0000-0000-00002F640000}"/>
    <cellStyle name="Normal 312 3 6" xfId="25648" xr:uid="{00000000-0005-0000-0000-000030640000}"/>
    <cellStyle name="Normal 312 4" xfId="25649" xr:uid="{00000000-0005-0000-0000-000031640000}"/>
    <cellStyle name="Normal 312 4 2" xfId="25650" xr:uid="{00000000-0005-0000-0000-000032640000}"/>
    <cellStyle name="Normal 312 4 2 2" xfId="25651" xr:uid="{00000000-0005-0000-0000-000033640000}"/>
    <cellStyle name="Normal 312 4 3" xfId="25652" xr:uid="{00000000-0005-0000-0000-000034640000}"/>
    <cellStyle name="Normal 312 5" xfId="25653" xr:uid="{00000000-0005-0000-0000-000035640000}"/>
    <cellStyle name="Normal 312 5 2" xfId="25654" xr:uid="{00000000-0005-0000-0000-000036640000}"/>
    <cellStyle name="Normal 312 5 2 2" xfId="25655" xr:uid="{00000000-0005-0000-0000-000037640000}"/>
    <cellStyle name="Normal 312 5 3" xfId="25656" xr:uid="{00000000-0005-0000-0000-000038640000}"/>
    <cellStyle name="Normal 312 6" xfId="25657" xr:uid="{00000000-0005-0000-0000-000039640000}"/>
    <cellStyle name="Normal 312 6 2" xfId="25658" xr:uid="{00000000-0005-0000-0000-00003A640000}"/>
    <cellStyle name="Normal 312 6 2 2" xfId="25659" xr:uid="{00000000-0005-0000-0000-00003B640000}"/>
    <cellStyle name="Normal 312 6 3" xfId="25660" xr:uid="{00000000-0005-0000-0000-00003C640000}"/>
    <cellStyle name="Normal 312 7" xfId="25661" xr:uid="{00000000-0005-0000-0000-00003D640000}"/>
    <cellStyle name="Normal 313" xfId="25662" xr:uid="{00000000-0005-0000-0000-00003E640000}"/>
    <cellStyle name="Normal 313 2" xfId="25663" xr:uid="{00000000-0005-0000-0000-00003F640000}"/>
    <cellStyle name="Normal 313 2 2" xfId="25664" xr:uid="{00000000-0005-0000-0000-000040640000}"/>
    <cellStyle name="Normal 313 2 2 2" xfId="25665" xr:uid="{00000000-0005-0000-0000-000041640000}"/>
    <cellStyle name="Normal 313 2 3" xfId="25666" xr:uid="{00000000-0005-0000-0000-000042640000}"/>
    <cellStyle name="Normal 313 2 3 2" xfId="25667" xr:uid="{00000000-0005-0000-0000-000043640000}"/>
    <cellStyle name="Normal 313 2 3 2 2" xfId="25668" xr:uid="{00000000-0005-0000-0000-000044640000}"/>
    <cellStyle name="Normal 313 2 3 3" xfId="25669" xr:uid="{00000000-0005-0000-0000-000045640000}"/>
    <cellStyle name="Normal 313 2 4" xfId="25670" xr:uid="{00000000-0005-0000-0000-000046640000}"/>
    <cellStyle name="Normal 313 2 4 2" xfId="25671" xr:uid="{00000000-0005-0000-0000-000047640000}"/>
    <cellStyle name="Normal 313 2 4 2 2" xfId="25672" xr:uid="{00000000-0005-0000-0000-000048640000}"/>
    <cellStyle name="Normal 313 2 4 3" xfId="25673" xr:uid="{00000000-0005-0000-0000-000049640000}"/>
    <cellStyle name="Normal 313 2 5" xfId="25674" xr:uid="{00000000-0005-0000-0000-00004A640000}"/>
    <cellStyle name="Normal 313 3" xfId="25675" xr:uid="{00000000-0005-0000-0000-00004B640000}"/>
    <cellStyle name="Normal 313 3 2" xfId="25676" xr:uid="{00000000-0005-0000-0000-00004C640000}"/>
    <cellStyle name="Normal 313 3 2 2" xfId="25677" xr:uid="{00000000-0005-0000-0000-00004D640000}"/>
    <cellStyle name="Normal 313 3 2 2 2" xfId="25678" xr:uid="{00000000-0005-0000-0000-00004E640000}"/>
    <cellStyle name="Normal 313 3 2 3" xfId="25679" xr:uid="{00000000-0005-0000-0000-00004F640000}"/>
    <cellStyle name="Normal 313 3 2 3 2" xfId="25680" xr:uid="{00000000-0005-0000-0000-000050640000}"/>
    <cellStyle name="Normal 313 3 2 3 2 2" xfId="25681" xr:uid="{00000000-0005-0000-0000-000051640000}"/>
    <cellStyle name="Normal 313 3 2 3 3" xfId="25682" xr:uid="{00000000-0005-0000-0000-000052640000}"/>
    <cellStyle name="Normal 313 3 2 4" xfId="25683" xr:uid="{00000000-0005-0000-0000-000053640000}"/>
    <cellStyle name="Normal 313 3 3" xfId="25684" xr:uid="{00000000-0005-0000-0000-000054640000}"/>
    <cellStyle name="Normal 313 3 3 2" xfId="25685" xr:uid="{00000000-0005-0000-0000-000055640000}"/>
    <cellStyle name="Normal 313 3 3 2 2" xfId="25686" xr:uid="{00000000-0005-0000-0000-000056640000}"/>
    <cellStyle name="Normal 313 3 3 3" xfId="25687" xr:uid="{00000000-0005-0000-0000-000057640000}"/>
    <cellStyle name="Normal 313 3 4" xfId="25688" xr:uid="{00000000-0005-0000-0000-000058640000}"/>
    <cellStyle name="Normal 313 3 4 2" xfId="25689" xr:uid="{00000000-0005-0000-0000-000059640000}"/>
    <cellStyle name="Normal 313 3 4 2 2" xfId="25690" xr:uid="{00000000-0005-0000-0000-00005A640000}"/>
    <cellStyle name="Normal 313 3 4 3" xfId="25691" xr:uid="{00000000-0005-0000-0000-00005B640000}"/>
    <cellStyle name="Normal 313 3 5" xfId="25692" xr:uid="{00000000-0005-0000-0000-00005C640000}"/>
    <cellStyle name="Normal 313 3 5 2" xfId="25693" xr:uid="{00000000-0005-0000-0000-00005D640000}"/>
    <cellStyle name="Normal 313 3 5 2 2" xfId="25694" xr:uid="{00000000-0005-0000-0000-00005E640000}"/>
    <cellStyle name="Normal 313 3 5 3" xfId="25695" xr:uid="{00000000-0005-0000-0000-00005F640000}"/>
    <cellStyle name="Normal 313 3 6" xfId="25696" xr:uid="{00000000-0005-0000-0000-000060640000}"/>
    <cellStyle name="Normal 313 4" xfId="25697" xr:uid="{00000000-0005-0000-0000-000061640000}"/>
    <cellStyle name="Normal 313 4 2" xfId="25698" xr:uid="{00000000-0005-0000-0000-000062640000}"/>
    <cellStyle name="Normal 313 4 2 2" xfId="25699" xr:uid="{00000000-0005-0000-0000-000063640000}"/>
    <cellStyle name="Normal 313 4 3" xfId="25700" xr:uid="{00000000-0005-0000-0000-000064640000}"/>
    <cellStyle name="Normal 313 5" xfId="25701" xr:uid="{00000000-0005-0000-0000-000065640000}"/>
    <cellStyle name="Normal 313 5 2" xfId="25702" xr:uid="{00000000-0005-0000-0000-000066640000}"/>
    <cellStyle name="Normal 313 5 2 2" xfId="25703" xr:uid="{00000000-0005-0000-0000-000067640000}"/>
    <cellStyle name="Normal 313 5 3" xfId="25704" xr:uid="{00000000-0005-0000-0000-000068640000}"/>
    <cellStyle name="Normal 313 6" xfId="25705" xr:uid="{00000000-0005-0000-0000-000069640000}"/>
    <cellStyle name="Normal 313 6 2" xfId="25706" xr:uid="{00000000-0005-0000-0000-00006A640000}"/>
    <cellStyle name="Normal 313 6 2 2" xfId="25707" xr:uid="{00000000-0005-0000-0000-00006B640000}"/>
    <cellStyle name="Normal 313 6 3" xfId="25708" xr:uid="{00000000-0005-0000-0000-00006C640000}"/>
    <cellStyle name="Normal 313 7" xfId="25709" xr:uid="{00000000-0005-0000-0000-00006D640000}"/>
    <cellStyle name="Normal 314" xfId="25710" xr:uid="{00000000-0005-0000-0000-00006E640000}"/>
    <cellStyle name="Normal 314 2" xfId="25711" xr:uid="{00000000-0005-0000-0000-00006F640000}"/>
    <cellStyle name="Normal 314 2 2" xfId="25712" xr:uid="{00000000-0005-0000-0000-000070640000}"/>
    <cellStyle name="Normal 314 2 2 2" xfId="25713" xr:uid="{00000000-0005-0000-0000-000071640000}"/>
    <cellStyle name="Normal 314 2 3" xfId="25714" xr:uid="{00000000-0005-0000-0000-000072640000}"/>
    <cellStyle name="Normal 314 2 3 2" xfId="25715" xr:uid="{00000000-0005-0000-0000-000073640000}"/>
    <cellStyle name="Normal 314 2 3 2 2" xfId="25716" xr:uid="{00000000-0005-0000-0000-000074640000}"/>
    <cellStyle name="Normal 314 2 3 3" xfId="25717" xr:uid="{00000000-0005-0000-0000-000075640000}"/>
    <cellStyle name="Normal 314 2 4" xfId="25718" xr:uid="{00000000-0005-0000-0000-000076640000}"/>
    <cellStyle name="Normal 314 2 4 2" xfId="25719" xr:uid="{00000000-0005-0000-0000-000077640000}"/>
    <cellStyle name="Normal 314 2 4 2 2" xfId="25720" xr:uid="{00000000-0005-0000-0000-000078640000}"/>
    <cellStyle name="Normal 314 2 4 3" xfId="25721" xr:uid="{00000000-0005-0000-0000-000079640000}"/>
    <cellStyle name="Normal 314 2 5" xfId="25722" xr:uid="{00000000-0005-0000-0000-00007A640000}"/>
    <cellStyle name="Normal 314 3" xfId="25723" xr:uid="{00000000-0005-0000-0000-00007B640000}"/>
    <cellStyle name="Normal 314 3 2" xfId="25724" xr:uid="{00000000-0005-0000-0000-00007C640000}"/>
    <cellStyle name="Normal 314 3 2 2" xfId="25725" xr:uid="{00000000-0005-0000-0000-00007D640000}"/>
    <cellStyle name="Normal 314 3 2 2 2" xfId="25726" xr:uid="{00000000-0005-0000-0000-00007E640000}"/>
    <cellStyle name="Normal 314 3 2 3" xfId="25727" xr:uid="{00000000-0005-0000-0000-00007F640000}"/>
    <cellStyle name="Normal 314 3 2 3 2" xfId="25728" xr:uid="{00000000-0005-0000-0000-000080640000}"/>
    <cellStyle name="Normal 314 3 2 3 2 2" xfId="25729" xr:uid="{00000000-0005-0000-0000-000081640000}"/>
    <cellStyle name="Normal 314 3 2 3 3" xfId="25730" xr:uid="{00000000-0005-0000-0000-000082640000}"/>
    <cellStyle name="Normal 314 3 2 4" xfId="25731" xr:uid="{00000000-0005-0000-0000-000083640000}"/>
    <cellStyle name="Normal 314 3 3" xfId="25732" xr:uid="{00000000-0005-0000-0000-000084640000}"/>
    <cellStyle name="Normal 314 3 3 2" xfId="25733" xr:uid="{00000000-0005-0000-0000-000085640000}"/>
    <cellStyle name="Normal 314 3 3 2 2" xfId="25734" xr:uid="{00000000-0005-0000-0000-000086640000}"/>
    <cellStyle name="Normal 314 3 3 3" xfId="25735" xr:uid="{00000000-0005-0000-0000-000087640000}"/>
    <cellStyle name="Normal 314 3 4" xfId="25736" xr:uid="{00000000-0005-0000-0000-000088640000}"/>
    <cellStyle name="Normal 314 3 4 2" xfId="25737" xr:uid="{00000000-0005-0000-0000-000089640000}"/>
    <cellStyle name="Normal 314 3 4 2 2" xfId="25738" xr:uid="{00000000-0005-0000-0000-00008A640000}"/>
    <cellStyle name="Normal 314 3 4 3" xfId="25739" xr:uid="{00000000-0005-0000-0000-00008B640000}"/>
    <cellStyle name="Normal 314 3 5" xfId="25740" xr:uid="{00000000-0005-0000-0000-00008C640000}"/>
    <cellStyle name="Normal 314 3 5 2" xfId="25741" xr:uid="{00000000-0005-0000-0000-00008D640000}"/>
    <cellStyle name="Normal 314 3 5 2 2" xfId="25742" xr:uid="{00000000-0005-0000-0000-00008E640000}"/>
    <cellStyle name="Normal 314 3 5 3" xfId="25743" xr:uid="{00000000-0005-0000-0000-00008F640000}"/>
    <cellStyle name="Normal 314 3 6" xfId="25744" xr:uid="{00000000-0005-0000-0000-000090640000}"/>
    <cellStyle name="Normal 314 4" xfId="25745" xr:uid="{00000000-0005-0000-0000-000091640000}"/>
    <cellStyle name="Normal 314 4 2" xfId="25746" xr:uid="{00000000-0005-0000-0000-000092640000}"/>
    <cellStyle name="Normal 314 4 2 2" xfId="25747" xr:uid="{00000000-0005-0000-0000-000093640000}"/>
    <cellStyle name="Normal 314 4 3" xfId="25748" xr:uid="{00000000-0005-0000-0000-000094640000}"/>
    <cellStyle name="Normal 314 5" xfId="25749" xr:uid="{00000000-0005-0000-0000-000095640000}"/>
    <cellStyle name="Normal 314 5 2" xfId="25750" xr:uid="{00000000-0005-0000-0000-000096640000}"/>
    <cellStyle name="Normal 314 5 2 2" xfId="25751" xr:uid="{00000000-0005-0000-0000-000097640000}"/>
    <cellStyle name="Normal 314 5 3" xfId="25752" xr:uid="{00000000-0005-0000-0000-000098640000}"/>
    <cellStyle name="Normal 314 6" xfId="25753" xr:uid="{00000000-0005-0000-0000-000099640000}"/>
    <cellStyle name="Normal 314 6 2" xfId="25754" xr:uid="{00000000-0005-0000-0000-00009A640000}"/>
    <cellStyle name="Normal 314 6 2 2" xfId="25755" xr:uid="{00000000-0005-0000-0000-00009B640000}"/>
    <cellStyle name="Normal 314 6 3" xfId="25756" xr:uid="{00000000-0005-0000-0000-00009C640000}"/>
    <cellStyle name="Normal 314 7" xfId="25757" xr:uid="{00000000-0005-0000-0000-00009D640000}"/>
    <cellStyle name="Normal 315" xfId="25758" xr:uid="{00000000-0005-0000-0000-00009E640000}"/>
    <cellStyle name="Normal 315 2" xfId="25759" xr:uid="{00000000-0005-0000-0000-00009F640000}"/>
    <cellStyle name="Normal 315 2 2" xfId="25760" xr:uid="{00000000-0005-0000-0000-0000A0640000}"/>
    <cellStyle name="Normal 315 2 2 2" xfId="25761" xr:uid="{00000000-0005-0000-0000-0000A1640000}"/>
    <cellStyle name="Normal 315 2 3" xfId="25762" xr:uid="{00000000-0005-0000-0000-0000A2640000}"/>
    <cellStyle name="Normal 315 2 3 2" xfId="25763" xr:uid="{00000000-0005-0000-0000-0000A3640000}"/>
    <cellStyle name="Normal 315 2 3 2 2" xfId="25764" xr:uid="{00000000-0005-0000-0000-0000A4640000}"/>
    <cellStyle name="Normal 315 2 3 3" xfId="25765" xr:uid="{00000000-0005-0000-0000-0000A5640000}"/>
    <cellStyle name="Normal 315 2 4" xfId="25766" xr:uid="{00000000-0005-0000-0000-0000A6640000}"/>
    <cellStyle name="Normal 315 2 4 2" xfId="25767" xr:uid="{00000000-0005-0000-0000-0000A7640000}"/>
    <cellStyle name="Normal 315 2 4 2 2" xfId="25768" xr:uid="{00000000-0005-0000-0000-0000A8640000}"/>
    <cellStyle name="Normal 315 2 4 3" xfId="25769" xr:uid="{00000000-0005-0000-0000-0000A9640000}"/>
    <cellStyle name="Normal 315 2 5" xfId="25770" xr:uid="{00000000-0005-0000-0000-0000AA640000}"/>
    <cellStyle name="Normal 315 3" xfId="25771" xr:uid="{00000000-0005-0000-0000-0000AB640000}"/>
    <cellStyle name="Normal 315 3 2" xfId="25772" xr:uid="{00000000-0005-0000-0000-0000AC640000}"/>
    <cellStyle name="Normal 315 3 2 2" xfId="25773" xr:uid="{00000000-0005-0000-0000-0000AD640000}"/>
    <cellStyle name="Normal 315 3 2 2 2" xfId="25774" xr:uid="{00000000-0005-0000-0000-0000AE640000}"/>
    <cellStyle name="Normal 315 3 2 3" xfId="25775" xr:uid="{00000000-0005-0000-0000-0000AF640000}"/>
    <cellStyle name="Normal 315 3 2 3 2" xfId="25776" xr:uid="{00000000-0005-0000-0000-0000B0640000}"/>
    <cellStyle name="Normal 315 3 2 3 2 2" xfId="25777" xr:uid="{00000000-0005-0000-0000-0000B1640000}"/>
    <cellStyle name="Normal 315 3 2 3 3" xfId="25778" xr:uid="{00000000-0005-0000-0000-0000B2640000}"/>
    <cellStyle name="Normal 315 3 2 4" xfId="25779" xr:uid="{00000000-0005-0000-0000-0000B3640000}"/>
    <cellStyle name="Normal 315 3 3" xfId="25780" xr:uid="{00000000-0005-0000-0000-0000B4640000}"/>
    <cellStyle name="Normal 315 3 3 2" xfId="25781" xr:uid="{00000000-0005-0000-0000-0000B5640000}"/>
    <cellStyle name="Normal 315 3 3 2 2" xfId="25782" xr:uid="{00000000-0005-0000-0000-0000B6640000}"/>
    <cellStyle name="Normal 315 3 3 3" xfId="25783" xr:uid="{00000000-0005-0000-0000-0000B7640000}"/>
    <cellStyle name="Normal 315 3 4" xfId="25784" xr:uid="{00000000-0005-0000-0000-0000B8640000}"/>
    <cellStyle name="Normal 315 3 4 2" xfId="25785" xr:uid="{00000000-0005-0000-0000-0000B9640000}"/>
    <cellStyle name="Normal 315 3 4 2 2" xfId="25786" xr:uid="{00000000-0005-0000-0000-0000BA640000}"/>
    <cellStyle name="Normal 315 3 4 3" xfId="25787" xr:uid="{00000000-0005-0000-0000-0000BB640000}"/>
    <cellStyle name="Normal 315 3 5" xfId="25788" xr:uid="{00000000-0005-0000-0000-0000BC640000}"/>
    <cellStyle name="Normal 315 3 5 2" xfId="25789" xr:uid="{00000000-0005-0000-0000-0000BD640000}"/>
    <cellStyle name="Normal 315 3 5 2 2" xfId="25790" xr:uid="{00000000-0005-0000-0000-0000BE640000}"/>
    <cellStyle name="Normal 315 3 5 3" xfId="25791" xr:uid="{00000000-0005-0000-0000-0000BF640000}"/>
    <cellStyle name="Normal 315 3 6" xfId="25792" xr:uid="{00000000-0005-0000-0000-0000C0640000}"/>
    <cellStyle name="Normal 315 4" xfId="25793" xr:uid="{00000000-0005-0000-0000-0000C1640000}"/>
    <cellStyle name="Normal 315 4 2" xfId="25794" xr:uid="{00000000-0005-0000-0000-0000C2640000}"/>
    <cellStyle name="Normal 315 4 2 2" xfId="25795" xr:uid="{00000000-0005-0000-0000-0000C3640000}"/>
    <cellStyle name="Normal 315 4 3" xfId="25796" xr:uid="{00000000-0005-0000-0000-0000C4640000}"/>
    <cellStyle name="Normal 315 5" xfId="25797" xr:uid="{00000000-0005-0000-0000-0000C5640000}"/>
    <cellStyle name="Normal 315 5 2" xfId="25798" xr:uid="{00000000-0005-0000-0000-0000C6640000}"/>
    <cellStyle name="Normal 315 5 2 2" xfId="25799" xr:uid="{00000000-0005-0000-0000-0000C7640000}"/>
    <cellStyle name="Normal 315 5 3" xfId="25800" xr:uid="{00000000-0005-0000-0000-0000C8640000}"/>
    <cellStyle name="Normal 315 6" xfId="25801" xr:uid="{00000000-0005-0000-0000-0000C9640000}"/>
    <cellStyle name="Normal 315 6 2" xfId="25802" xr:uid="{00000000-0005-0000-0000-0000CA640000}"/>
    <cellStyle name="Normal 315 6 2 2" xfId="25803" xr:uid="{00000000-0005-0000-0000-0000CB640000}"/>
    <cellStyle name="Normal 315 6 3" xfId="25804" xr:uid="{00000000-0005-0000-0000-0000CC640000}"/>
    <cellStyle name="Normal 315 7" xfId="25805" xr:uid="{00000000-0005-0000-0000-0000CD640000}"/>
    <cellStyle name="Normal 316" xfId="25806" xr:uid="{00000000-0005-0000-0000-0000CE640000}"/>
    <cellStyle name="Normal 316 2" xfId="25807" xr:uid="{00000000-0005-0000-0000-0000CF640000}"/>
    <cellStyle name="Normal 316 2 2" xfId="25808" xr:uid="{00000000-0005-0000-0000-0000D0640000}"/>
    <cellStyle name="Normal 316 2 2 2" xfId="25809" xr:uid="{00000000-0005-0000-0000-0000D1640000}"/>
    <cellStyle name="Normal 316 2 3" xfId="25810" xr:uid="{00000000-0005-0000-0000-0000D2640000}"/>
    <cellStyle name="Normal 316 2 3 2" xfId="25811" xr:uid="{00000000-0005-0000-0000-0000D3640000}"/>
    <cellStyle name="Normal 316 2 3 2 2" xfId="25812" xr:uid="{00000000-0005-0000-0000-0000D4640000}"/>
    <cellStyle name="Normal 316 2 3 3" xfId="25813" xr:uid="{00000000-0005-0000-0000-0000D5640000}"/>
    <cellStyle name="Normal 316 2 4" xfId="25814" xr:uid="{00000000-0005-0000-0000-0000D6640000}"/>
    <cellStyle name="Normal 316 2 4 2" xfId="25815" xr:uid="{00000000-0005-0000-0000-0000D7640000}"/>
    <cellStyle name="Normal 316 2 4 2 2" xfId="25816" xr:uid="{00000000-0005-0000-0000-0000D8640000}"/>
    <cellStyle name="Normal 316 2 4 3" xfId="25817" xr:uid="{00000000-0005-0000-0000-0000D9640000}"/>
    <cellStyle name="Normal 316 2 5" xfId="25818" xr:uid="{00000000-0005-0000-0000-0000DA640000}"/>
    <cellStyle name="Normal 316 3" xfId="25819" xr:uid="{00000000-0005-0000-0000-0000DB640000}"/>
    <cellStyle name="Normal 316 3 2" xfId="25820" xr:uid="{00000000-0005-0000-0000-0000DC640000}"/>
    <cellStyle name="Normal 316 3 2 2" xfId="25821" xr:uid="{00000000-0005-0000-0000-0000DD640000}"/>
    <cellStyle name="Normal 316 3 2 2 2" xfId="25822" xr:uid="{00000000-0005-0000-0000-0000DE640000}"/>
    <cellStyle name="Normal 316 3 2 3" xfId="25823" xr:uid="{00000000-0005-0000-0000-0000DF640000}"/>
    <cellStyle name="Normal 316 3 2 3 2" xfId="25824" xr:uid="{00000000-0005-0000-0000-0000E0640000}"/>
    <cellStyle name="Normal 316 3 2 3 2 2" xfId="25825" xr:uid="{00000000-0005-0000-0000-0000E1640000}"/>
    <cellStyle name="Normal 316 3 2 3 3" xfId="25826" xr:uid="{00000000-0005-0000-0000-0000E2640000}"/>
    <cellStyle name="Normal 316 3 2 4" xfId="25827" xr:uid="{00000000-0005-0000-0000-0000E3640000}"/>
    <cellStyle name="Normal 316 3 3" xfId="25828" xr:uid="{00000000-0005-0000-0000-0000E4640000}"/>
    <cellStyle name="Normal 316 3 3 2" xfId="25829" xr:uid="{00000000-0005-0000-0000-0000E5640000}"/>
    <cellStyle name="Normal 316 3 3 2 2" xfId="25830" xr:uid="{00000000-0005-0000-0000-0000E6640000}"/>
    <cellStyle name="Normal 316 3 3 3" xfId="25831" xr:uid="{00000000-0005-0000-0000-0000E7640000}"/>
    <cellStyle name="Normal 316 3 4" xfId="25832" xr:uid="{00000000-0005-0000-0000-0000E8640000}"/>
    <cellStyle name="Normal 316 3 4 2" xfId="25833" xr:uid="{00000000-0005-0000-0000-0000E9640000}"/>
    <cellStyle name="Normal 316 3 4 2 2" xfId="25834" xr:uid="{00000000-0005-0000-0000-0000EA640000}"/>
    <cellStyle name="Normal 316 3 4 3" xfId="25835" xr:uid="{00000000-0005-0000-0000-0000EB640000}"/>
    <cellStyle name="Normal 316 3 5" xfId="25836" xr:uid="{00000000-0005-0000-0000-0000EC640000}"/>
    <cellStyle name="Normal 316 3 5 2" xfId="25837" xr:uid="{00000000-0005-0000-0000-0000ED640000}"/>
    <cellStyle name="Normal 316 3 5 2 2" xfId="25838" xr:uid="{00000000-0005-0000-0000-0000EE640000}"/>
    <cellStyle name="Normal 316 3 5 3" xfId="25839" xr:uid="{00000000-0005-0000-0000-0000EF640000}"/>
    <cellStyle name="Normal 316 3 6" xfId="25840" xr:uid="{00000000-0005-0000-0000-0000F0640000}"/>
    <cellStyle name="Normal 316 4" xfId="25841" xr:uid="{00000000-0005-0000-0000-0000F1640000}"/>
    <cellStyle name="Normal 316 4 2" xfId="25842" xr:uid="{00000000-0005-0000-0000-0000F2640000}"/>
    <cellStyle name="Normal 316 4 2 2" xfId="25843" xr:uid="{00000000-0005-0000-0000-0000F3640000}"/>
    <cellStyle name="Normal 316 4 3" xfId="25844" xr:uid="{00000000-0005-0000-0000-0000F4640000}"/>
    <cellStyle name="Normal 316 5" xfId="25845" xr:uid="{00000000-0005-0000-0000-0000F5640000}"/>
    <cellStyle name="Normal 316 5 2" xfId="25846" xr:uid="{00000000-0005-0000-0000-0000F6640000}"/>
    <cellStyle name="Normal 316 5 2 2" xfId="25847" xr:uid="{00000000-0005-0000-0000-0000F7640000}"/>
    <cellStyle name="Normal 316 5 3" xfId="25848" xr:uid="{00000000-0005-0000-0000-0000F8640000}"/>
    <cellStyle name="Normal 316 6" xfId="25849" xr:uid="{00000000-0005-0000-0000-0000F9640000}"/>
    <cellStyle name="Normal 316 6 2" xfId="25850" xr:uid="{00000000-0005-0000-0000-0000FA640000}"/>
    <cellStyle name="Normal 316 6 2 2" xfId="25851" xr:uid="{00000000-0005-0000-0000-0000FB640000}"/>
    <cellStyle name="Normal 316 6 3" xfId="25852" xr:uid="{00000000-0005-0000-0000-0000FC640000}"/>
    <cellStyle name="Normal 316 7" xfId="25853" xr:uid="{00000000-0005-0000-0000-0000FD640000}"/>
    <cellStyle name="Normal 317" xfId="25854" xr:uid="{00000000-0005-0000-0000-0000FE640000}"/>
    <cellStyle name="Normal 317 2" xfId="25855" xr:uid="{00000000-0005-0000-0000-0000FF640000}"/>
    <cellStyle name="Normal 317 2 2" xfId="25856" xr:uid="{00000000-0005-0000-0000-000000650000}"/>
    <cellStyle name="Normal 317 2 2 2" xfId="25857" xr:uid="{00000000-0005-0000-0000-000001650000}"/>
    <cellStyle name="Normal 317 2 3" xfId="25858" xr:uid="{00000000-0005-0000-0000-000002650000}"/>
    <cellStyle name="Normal 317 2 3 2" xfId="25859" xr:uid="{00000000-0005-0000-0000-000003650000}"/>
    <cellStyle name="Normal 317 2 3 2 2" xfId="25860" xr:uid="{00000000-0005-0000-0000-000004650000}"/>
    <cellStyle name="Normal 317 2 3 3" xfId="25861" xr:uid="{00000000-0005-0000-0000-000005650000}"/>
    <cellStyle name="Normal 317 2 4" xfId="25862" xr:uid="{00000000-0005-0000-0000-000006650000}"/>
    <cellStyle name="Normal 317 2 4 2" xfId="25863" xr:uid="{00000000-0005-0000-0000-000007650000}"/>
    <cellStyle name="Normal 317 2 4 2 2" xfId="25864" xr:uid="{00000000-0005-0000-0000-000008650000}"/>
    <cellStyle name="Normal 317 2 4 3" xfId="25865" xr:uid="{00000000-0005-0000-0000-000009650000}"/>
    <cellStyle name="Normal 317 2 5" xfId="25866" xr:uid="{00000000-0005-0000-0000-00000A650000}"/>
    <cellStyle name="Normal 317 3" xfId="25867" xr:uid="{00000000-0005-0000-0000-00000B650000}"/>
    <cellStyle name="Normal 317 3 2" xfId="25868" xr:uid="{00000000-0005-0000-0000-00000C650000}"/>
    <cellStyle name="Normal 317 3 2 2" xfId="25869" xr:uid="{00000000-0005-0000-0000-00000D650000}"/>
    <cellStyle name="Normal 317 3 2 2 2" xfId="25870" xr:uid="{00000000-0005-0000-0000-00000E650000}"/>
    <cellStyle name="Normal 317 3 2 3" xfId="25871" xr:uid="{00000000-0005-0000-0000-00000F650000}"/>
    <cellStyle name="Normal 317 3 2 3 2" xfId="25872" xr:uid="{00000000-0005-0000-0000-000010650000}"/>
    <cellStyle name="Normal 317 3 2 3 2 2" xfId="25873" xr:uid="{00000000-0005-0000-0000-000011650000}"/>
    <cellStyle name="Normal 317 3 2 3 3" xfId="25874" xr:uid="{00000000-0005-0000-0000-000012650000}"/>
    <cellStyle name="Normal 317 3 2 4" xfId="25875" xr:uid="{00000000-0005-0000-0000-000013650000}"/>
    <cellStyle name="Normal 317 3 3" xfId="25876" xr:uid="{00000000-0005-0000-0000-000014650000}"/>
    <cellStyle name="Normal 317 3 3 2" xfId="25877" xr:uid="{00000000-0005-0000-0000-000015650000}"/>
    <cellStyle name="Normal 317 3 3 2 2" xfId="25878" xr:uid="{00000000-0005-0000-0000-000016650000}"/>
    <cellStyle name="Normal 317 3 3 3" xfId="25879" xr:uid="{00000000-0005-0000-0000-000017650000}"/>
    <cellStyle name="Normal 317 3 4" xfId="25880" xr:uid="{00000000-0005-0000-0000-000018650000}"/>
    <cellStyle name="Normal 317 3 4 2" xfId="25881" xr:uid="{00000000-0005-0000-0000-000019650000}"/>
    <cellStyle name="Normal 317 3 4 2 2" xfId="25882" xr:uid="{00000000-0005-0000-0000-00001A650000}"/>
    <cellStyle name="Normal 317 3 4 3" xfId="25883" xr:uid="{00000000-0005-0000-0000-00001B650000}"/>
    <cellStyle name="Normal 317 3 5" xfId="25884" xr:uid="{00000000-0005-0000-0000-00001C650000}"/>
    <cellStyle name="Normal 317 3 5 2" xfId="25885" xr:uid="{00000000-0005-0000-0000-00001D650000}"/>
    <cellStyle name="Normal 317 3 5 2 2" xfId="25886" xr:uid="{00000000-0005-0000-0000-00001E650000}"/>
    <cellStyle name="Normal 317 3 5 3" xfId="25887" xr:uid="{00000000-0005-0000-0000-00001F650000}"/>
    <cellStyle name="Normal 317 3 6" xfId="25888" xr:uid="{00000000-0005-0000-0000-000020650000}"/>
    <cellStyle name="Normal 317 4" xfId="25889" xr:uid="{00000000-0005-0000-0000-000021650000}"/>
    <cellStyle name="Normal 317 4 2" xfId="25890" xr:uid="{00000000-0005-0000-0000-000022650000}"/>
    <cellStyle name="Normal 317 4 2 2" xfId="25891" xr:uid="{00000000-0005-0000-0000-000023650000}"/>
    <cellStyle name="Normal 317 4 3" xfId="25892" xr:uid="{00000000-0005-0000-0000-000024650000}"/>
    <cellStyle name="Normal 317 5" xfId="25893" xr:uid="{00000000-0005-0000-0000-000025650000}"/>
    <cellStyle name="Normal 317 5 2" xfId="25894" xr:uid="{00000000-0005-0000-0000-000026650000}"/>
    <cellStyle name="Normal 317 5 2 2" xfId="25895" xr:uid="{00000000-0005-0000-0000-000027650000}"/>
    <cellStyle name="Normal 317 5 3" xfId="25896" xr:uid="{00000000-0005-0000-0000-000028650000}"/>
    <cellStyle name="Normal 317 6" xfId="25897" xr:uid="{00000000-0005-0000-0000-000029650000}"/>
    <cellStyle name="Normal 317 6 2" xfId="25898" xr:uid="{00000000-0005-0000-0000-00002A650000}"/>
    <cellStyle name="Normal 317 6 2 2" xfId="25899" xr:uid="{00000000-0005-0000-0000-00002B650000}"/>
    <cellStyle name="Normal 317 6 3" xfId="25900" xr:uid="{00000000-0005-0000-0000-00002C650000}"/>
    <cellStyle name="Normal 317 7" xfId="25901" xr:uid="{00000000-0005-0000-0000-00002D650000}"/>
    <cellStyle name="Normal 318" xfId="25902" xr:uid="{00000000-0005-0000-0000-00002E650000}"/>
    <cellStyle name="Normal 318 2" xfId="25903" xr:uid="{00000000-0005-0000-0000-00002F650000}"/>
    <cellStyle name="Normal 318 2 2" xfId="25904" xr:uid="{00000000-0005-0000-0000-000030650000}"/>
    <cellStyle name="Normal 318 2 2 2" xfId="25905" xr:uid="{00000000-0005-0000-0000-000031650000}"/>
    <cellStyle name="Normal 318 2 3" xfId="25906" xr:uid="{00000000-0005-0000-0000-000032650000}"/>
    <cellStyle name="Normal 318 2 3 2" xfId="25907" xr:uid="{00000000-0005-0000-0000-000033650000}"/>
    <cellStyle name="Normal 318 2 3 2 2" xfId="25908" xr:uid="{00000000-0005-0000-0000-000034650000}"/>
    <cellStyle name="Normal 318 2 3 3" xfId="25909" xr:uid="{00000000-0005-0000-0000-000035650000}"/>
    <cellStyle name="Normal 318 2 4" xfId="25910" xr:uid="{00000000-0005-0000-0000-000036650000}"/>
    <cellStyle name="Normal 318 2 4 2" xfId="25911" xr:uid="{00000000-0005-0000-0000-000037650000}"/>
    <cellStyle name="Normal 318 2 4 2 2" xfId="25912" xr:uid="{00000000-0005-0000-0000-000038650000}"/>
    <cellStyle name="Normal 318 2 4 3" xfId="25913" xr:uid="{00000000-0005-0000-0000-000039650000}"/>
    <cellStyle name="Normal 318 2 5" xfId="25914" xr:uid="{00000000-0005-0000-0000-00003A650000}"/>
    <cellStyle name="Normal 318 3" xfId="25915" xr:uid="{00000000-0005-0000-0000-00003B650000}"/>
    <cellStyle name="Normal 318 3 2" xfId="25916" xr:uid="{00000000-0005-0000-0000-00003C650000}"/>
    <cellStyle name="Normal 318 3 2 2" xfId="25917" xr:uid="{00000000-0005-0000-0000-00003D650000}"/>
    <cellStyle name="Normal 318 3 2 2 2" xfId="25918" xr:uid="{00000000-0005-0000-0000-00003E650000}"/>
    <cellStyle name="Normal 318 3 2 3" xfId="25919" xr:uid="{00000000-0005-0000-0000-00003F650000}"/>
    <cellStyle name="Normal 318 3 2 3 2" xfId="25920" xr:uid="{00000000-0005-0000-0000-000040650000}"/>
    <cellStyle name="Normal 318 3 2 3 2 2" xfId="25921" xr:uid="{00000000-0005-0000-0000-000041650000}"/>
    <cellStyle name="Normal 318 3 2 3 3" xfId="25922" xr:uid="{00000000-0005-0000-0000-000042650000}"/>
    <cellStyle name="Normal 318 3 2 4" xfId="25923" xr:uid="{00000000-0005-0000-0000-000043650000}"/>
    <cellStyle name="Normal 318 3 3" xfId="25924" xr:uid="{00000000-0005-0000-0000-000044650000}"/>
    <cellStyle name="Normal 318 3 3 2" xfId="25925" xr:uid="{00000000-0005-0000-0000-000045650000}"/>
    <cellStyle name="Normal 318 3 3 2 2" xfId="25926" xr:uid="{00000000-0005-0000-0000-000046650000}"/>
    <cellStyle name="Normal 318 3 3 3" xfId="25927" xr:uid="{00000000-0005-0000-0000-000047650000}"/>
    <cellStyle name="Normal 318 3 4" xfId="25928" xr:uid="{00000000-0005-0000-0000-000048650000}"/>
    <cellStyle name="Normal 318 3 4 2" xfId="25929" xr:uid="{00000000-0005-0000-0000-000049650000}"/>
    <cellStyle name="Normal 318 3 4 2 2" xfId="25930" xr:uid="{00000000-0005-0000-0000-00004A650000}"/>
    <cellStyle name="Normal 318 3 4 3" xfId="25931" xr:uid="{00000000-0005-0000-0000-00004B650000}"/>
    <cellStyle name="Normal 318 3 5" xfId="25932" xr:uid="{00000000-0005-0000-0000-00004C650000}"/>
    <cellStyle name="Normal 318 3 5 2" xfId="25933" xr:uid="{00000000-0005-0000-0000-00004D650000}"/>
    <cellStyle name="Normal 318 3 5 2 2" xfId="25934" xr:uid="{00000000-0005-0000-0000-00004E650000}"/>
    <cellStyle name="Normal 318 3 5 3" xfId="25935" xr:uid="{00000000-0005-0000-0000-00004F650000}"/>
    <cellStyle name="Normal 318 3 6" xfId="25936" xr:uid="{00000000-0005-0000-0000-000050650000}"/>
    <cellStyle name="Normal 318 4" xfId="25937" xr:uid="{00000000-0005-0000-0000-000051650000}"/>
    <cellStyle name="Normal 318 4 2" xfId="25938" xr:uid="{00000000-0005-0000-0000-000052650000}"/>
    <cellStyle name="Normal 318 4 2 2" xfId="25939" xr:uid="{00000000-0005-0000-0000-000053650000}"/>
    <cellStyle name="Normal 318 4 3" xfId="25940" xr:uid="{00000000-0005-0000-0000-000054650000}"/>
    <cellStyle name="Normal 318 5" xfId="25941" xr:uid="{00000000-0005-0000-0000-000055650000}"/>
    <cellStyle name="Normal 318 5 2" xfId="25942" xr:uid="{00000000-0005-0000-0000-000056650000}"/>
    <cellStyle name="Normal 318 5 2 2" xfId="25943" xr:uid="{00000000-0005-0000-0000-000057650000}"/>
    <cellStyle name="Normal 318 5 3" xfId="25944" xr:uid="{00000000-0005-0000-0000-000058650000}"/>
    <cellStyle name="Normal 318 6" xfId="25945" xr:uid="{00000000-0005-0000-0000-000059650000}"/>
    <cellStyle name="Normal 318 6 2" xfId="25946" xr:uid="{00000000-0005-0000-0000-00005A650000}"/>
    <cellStyle name="Normal 318 6 2 2" xfId="25947" xr:uid="{00000000-0005-0000-0000-00005B650000}"/>
    <cellStyle name="Normal 318 6 3" xfId="25948" xr:uid="{00000000-0005-0000-0000-00005C650000}"/>
    <cellStyle name="Normal 318 7" xfId="25949" xr:uid="{00000000-0005-0000-0000-00005D650000}"/>
    <cellStyle name="Normal 319" xfId="25950" xr:uid="{00000000-0005-0000-0000-00005E650000}"/>
    <cellStyle name="Normal 319 2" xfId="25951" xr:uid="{00000000-0005-0000-0000-00005F650000}"/>
    <cellStyle name="Normal 319 2 2" xfId="25952" xr:uid="{00000000-0005-0000-0000-000060650000}"/>
    <cellStyle name="Normal 319 2 2 2" xfId="25953" xr:uid="{00000000-0005-0000-0000-000061650000}"/>
    <cellStyle name="Normal 319 2 3" xfId="25954" xr:uid="{00000000-0005-0000-0000-000062650000}"/>
    <cellStyle name="Normal 319 2 3 2" xfId="25955" xr:uid="{00000000-0005-0000-0000-000063650000}"/>
    <cellStyle name="Normal 319 2 3 2 2" xfId="25956" xr:uid="{00000000-0005-0000-0000-000064650000}"/>
    <cellStyle name="Normal 319 2 3 3" xfId="25957" xr:uid="{00000000-0005-0000-0000-000065650000}"/>
    <cellStyle name="Normal 319 2 4" xfId="25958" xr:uid="{00000000-0005-0000-0000-000066650000}"/>
    <cellStyle name="Normal 319 2 4 2" xfId="25959" xr:uid="{00000000-0005-0000-0000-000067650000}"/>
    <cellStyle name="Normal 319 2 4 2 2" xfId="25960" xr:uid="{00000000-0005-0000-0000-000068650000}"/>
    <cellStyle name="Normal 319 2 4 3" xfId="25961" xr:uid="{00000000-0005-0000-0000-000069650000}"/>
    <cellStyle name="Normal 319 2 5" xfId="25962" xr:uid="{00000000-0005-0000-0000-00006A650000}"/>
    <cellStyle name="Normal 319 3" xfId="25963" xr:uid="{00000000-0005-0000-0000-00006B650000}"/>
    <cellStyle name="Normal 319 3 2" xfId="25964" xr:uid="{00000000-0005-0000-0000-00006C650000}"/>
    <cellStyle name="Normal 319 3 2 2" xfId="25965" xr:uid="{00000000-0005-0000-0000-00006D650000}"/>
    <cellStyle name="Normal 319 3 2 2 2" xfId="25966" xr:uid="{00000000-0005-0000-0000-00006E650000}"/>
    <cellStyle name="Normal 319 3 2 3" xfId="25967" xr:uid="{00000000-0005-0000-0000-00006F650000}"/>
    <cellStyle name="Normal 319 3 2 3 2" xfId="25968" xr:uid="{00000000-0005-0000-0000-000070650000}"/>
    <cellStyle name="Normal 319 3 2 3 2 2" xfId="25969" xr:uid="{00000000-0005-0000-0000-000071650000}"/>
    <cellStyle name="Normal 319 3 2 3 3" xfId="25970" xr:uid="{00000000-0005-0000-0000-000072650000}"/>
    <cellStyle name="Normal 319 3 2 4" xfId="25971" xr:uid="{00000000-0005-0000-0000-000073650000}"/>
    <cellStyle name="Normal 319 3 3" xfId="25972" xr:uid="{00000000-0005-0000-0000-000074650000}"/>
    <cellStyle name="Normal 319 3 3 2" xfId="25973" xr:uid="{00000000-0005-0000-0000-000075650000}"/>
    <cellStyle name="Normal 319 3 3 2 2" xfId="25974" xr:uid="{00000000-0005-0000-0000-000076650000}"/>
    <cellStyle name="Normal 319 3 3 3" xfId="25975" xr:uid="{00000000-0005-0000-0000-000077650000}"/>
    <cellStyle name="Normal 319 3 4" xfId="25976" xr:uid="{00000000-0005-0000-0000-000078650000}"/>
    <cellStyle name="Normal 319 3 4 2" xfId="25977" xr:uid="{00000000-0005-0000-0000-000079650000}"/>
    <cellStyle name="Normal 319 3 4 2 2" xfId="25978" xr:uid="{00000000-0005-0000-0000-00007A650000}"/>
    <cellStyle name="Normal 319 3 4 3" xfId="25979" xr:uid="{00000000-0005-0000-0000-00007B650000}"/>
    <cellStyle name="Normal 319 3 5" xfId="25980" xr:uid="{00000000-0005-0000-0000-00007C650000}"/>
    <cellStyle name="Normal 319 3 5 2" xfId="25981" xr:uid="{00000000-0005-0000-0000-00007D650000}"/>
    <cellStyle name="Normal 319 3 5 2 2" xfId="25982" xr:uid="{00000000-0005-0000-0000-00007E650000}"/>
    <cellStyle name="Normal 319 3 5 3" xfId="25983" xr:uid="{00000000-0005-0000-0000-00007F650000}"/>
    <cellStyle name="Normal 319 3 6" xfId="25984" xr:uid="{00000000-0005-0000-0000-000080650000}"/>
    <cellStyle name="Normal 319 4" xfId="25985" xr:uid="{00000000-0005-0000-0000-000081650000}"/>
    <cellStyle name="Normal 319 4 2" xfId="25986" xr:uid="{00000000-0005-0000-0000-000082650000}"/>
    <cellStyle name="Normal 319 4 2 2" xfId="25987" xr:uid="{00000000-0005-0000-0000-000083650000}"/>
    <cellStyle name="Normal 319 4 3" xfId="25988" xr:uid="{00000000-0005-0000-0000-000084650000}"/>
    <cellStyle name="Normal 319 5" xfId="25989" xr:uid="{00000000-0005-0000-0000-000085650000}"/>
    <cellStyle name="Normal 319 5 2" xfId="25990" xr:uid="{00000000-0005-0000-0000-000086650000}"/>
    <cellStyle name="Normal 319 5 2 2" xfId="25991" xr:uid="{00000000-0005-0000-0000-000087650000}"/>
    <cellStyle name="Normal 319 5 3" xfId="25992" xr:uid="{00000000-0005-0000-0000-000088650000}"/>
    <cellStyle name="Normal 319 6" xfId="25993" xr:uid="{00000000-0005-0000-0000-000089650000}"/>
    <cellStyle name="Normal 319 6 2" xfId="25994" xr:uid="{00000000-0005-0000-0000-00008A650000}"/>
    <cellStyle name="Normal 319 6 2 2" xfId="25995" xr:uid="{00000000-0005-0000-0000-00008B650000}"/>
    <cellStyle name="Normal 319 6 3" xfId="25996" xr:uid="{00000000-0005-0000-0000-00008C650000}"/>
    <cellStyle name="Normal 319 7" xfId="25997" xr:uid="{00000000-0005-0000-0000-00008D650000}"/>
    <cellStyle name="Normal 32" xfId="25998" xr:uid="{00000000-0005-0000-0000-00008E650000}"/>
    <cellStyle name="Normal 32 2" xfId="25999" xr:uid="{00000000-0005-0000-0000-00008F650000}"/>
    <cellStyle name="Normal 32 2 2" xfId="26000" xr:uid="{00000000-0005-0000-0000-000090650000}"/>
    <cellStyle name="Normal 32 2 2 2" xfId="26001" xr:uid="{00000000-0005-0000-0000-000091650000}"/>
    <cellStyle name="Normal 32 2 2 2 2" xfId="26002" xr:uid="{00000000-0005-0000-0000-000092650000}"/>
    <cellStyle name="Normal 32 2 2 3" xfId="26003" xr:uid="{00000000-0005-0000-0000-000093650000}"/>
    <cellStyle name="Normal 32 2 2 3 2" xfId="26004" xr:uid="{00000000-0005-0000-0000-000094650000}"/>
    <cellStyle name="Normal 32 2 2 3 2 2" xfId="26005" xr:uid="{00000000-0005-0000-0000-000095650000}"/>
    <cellStyle name="Normal 32 2 2 3 3" xfId="26006" xr:uid="{00000000-0005-0000-0000-000096650000}"/>
    <cellStyle name="Normal 32 2 2 4" xfId="26007" xr:uid="{00000000-0005-0000-0000-000097650000}"/>
    <cellStyle name="Normal 32 2 2 4 2" xfId="26008" xr:uid="{00000000-0005-0000-0000-000098650000}"/>
    <cellStyle name="Normal 32 2 2 4 2 2" xfId="26009" xr:uid="{00000000-0005-0000-0000-000099650000}"/>
    <cellStyle name="Normal 32 2 2 4 3" xfId="26010" xr:uid="{00000000-0005-0000-0000-00009A650000}"/>
    <cellStyle name="Normal 32 2 2 5" xfId="26011" xr:uid="{00000000-0005-0000-0000-00009B650000}"/>
    <cellStyle name="Normal 32 2 3" xfId="26012" xr:uid="{00000000-0005-0000-0000-00009C650000}"/>
    <cellStyle name="Normal 32 2 3 2" xfId="26013" xr:uid="{00000000-0005-0000-0000-00009D650000}"/>
    <cellStyle name="Normal 32 2 3 2 2" xfId="26014" xr:uid="{00000000-0005-0000-0000-00009E650000}"/>
    <cellStyle name="Normal 32 2 3 3" xfId="26015" xr:uid="{00000000-0005-0000-0000-00009F650000}"/>
    <cellStyle name="Normal 32 2 4" xfId="26016" xr:uid="{00000000-0005-0000-0000-0000A0650000}"/>
    <cellStyle name="Normal 32 2 4 2" xfId="26017" xr:uid="{00000000-0005-0000-0000-0000A1650000}"/>
    <cellStyle name="Normal 32 2 4 2 2" xfId="26018" xr:uid="{00000000-0005-0000-0000-0000A2650000}"/>
    <cellStyle name="Normal 32 2 4 3" xfId="26019" xr:uid="{00000000-0005-0000-0000-0000A3650000}"/>
    <cellStyle name="Normal 32 2 5" xfId="26020" xr:uid="{00000000-0005-0000-0000-0000A4650000}"/>
    <cellStyle name="Normal 32 2 5 2" xfId="26021" xr:uid="{00000000-0005-0000-0000-0000A5650000}"/>
    <cellStyle name="Normal 32 2 5 2 2" xfId="26022" xr:uid="{00000000-0005-0000-0000-0000A6650000}"/>
    <cellStyle name="Normal 32 2 5 3" xfId="26023" xr:uid="{00000000-0005-0000-0000-0000A7650000}"/>
    <cellStyle name="Normal 32 2 6" xfId="26024" xr:uid="{00000000-0005-0000-0000-0000A8650000}"/>
    <cellStyle name="Normal 32 3" xfId="26025" xr:uid="{00000000-0005-0000-0000-0000A9650000}"/>
    <cellStyle name="Normal 32 3 2" xfId="26026" xr:uid="{00000000-0005-0000-0000-0000AA650000}"/>
    <cellStyle name="Normal 32 3 2 2" xfId="26027" xr:uid="{00000000-0005-0000-0000-0000AB650000}"/>
    <cellStyle name="Normal 32 3 3" xfId="26028" xr:uid="{00000000-0005-0000-0000-0000AC650000}"/>
    <cellStyle name="Normal 32 3 3 2" xfId="26029" xr:uid="{00000000-0005-0000-0000-0000AD650000}"/>
    <cellStyle name="Normal 32 3 3 2 2" xfId="26030" xr:uid="{00000000-0005-0000-0000-0000AE650000}"/>
    <cellStyle name="Normal 32 3 3 3" xfId="26031" xr:uid="{00000000-0005-0000-0000-0000AF650000}"/>
    <cellStyle name="Normal 32 3 4" xfId="26032" xr:uid="{00000000-0005-0000-0000-0000B0650000}"/>
    <cellStyle name="Normal 32 3 4 2" xfId="26033" xr:uid="{00000000-0005-0000-0000-0000B1650000}"/>
    <cellStyle name="Normal 32 3 4 2 2" xfId="26034" xr:uid="{00000000-0005-0000-0000-0000B2650000}"/>
    <cellStyle name="Normal 32 3 4 3" xfId="26035" xr:uid="{00000000-0005-0000-0000-0000B3650000}"/>
    <cellStyle name="Normal 32 3 5" xfId="26036" xr:uid="{00000000-0005-0000-0000-0000B4650000}"/>
    <cellStyle name="Normal 32 4" xfId="26037" xr:uid="{00000000-0005-0000-0000-0000B5650000}"/>
    <cellStyle name="Normal 32 4 2" xfId="26038" xr:uid="{00000000-0005-0000-0000-0000B6650000}"/>
    <cellStyle name="Normal 32 4 2 2" xfId="26039" xr:uid="{00000000-0005-0000-0000-0000B7650000}"/>
    <cellStyle name="Normal 32 4 3" xfId="26040" xr:uid="{00000000-0005-0000-0000-0000B8650000}"/>
    <cellStyle name="Normal 32 5" xfId="26041" xr:uid="{00000000-0005-0000-0000-0000B9650000}"/>
    <cellStyle name="Normal 32 5 2" xfId="26042" xr:uid="{00000000-0005-0000-0000-0000BA650000}"/>
    <cellStyle name="Normal 32 5 2 2" xfId="26043" xr:uid="{00000000-0005-0000-0000-0000BB650000}"/>
    <cellStyle name="Normal 32 5 3" xfId="26044" xr:uid="{00000000-0005-0000-0000-0000BC650000}"/>
    <cellStyle name="Normal 32 6" xfId="26045" xr:uid="{00000000-0005-0000-0000-0000BD650000}"/>
    <cellStyle name="Normal 32 6 2" xfId="26046" xr:uid="{00000000-0005-0000-0000-0000BE650000}"/>
    <cellStyle name="Normal 32 6 2 2" xfId="26047" xr:uid="{00000000-0005-0000-0000-0000BF650000}"/>
    <cellStyle name="Normal 32 6 3" xfId="26048" xr:uid="{00000000-0005-0000-0000-0000C0650000}"/>
    <cellStyle name="Normal 32 7" xfId="26049" xr:uid="{00000000-0005-0000-0000-0000C1650000}"/>
    <cellStyle name="Normal 320" xfId="26050" xr:uid="{00000000-0005-0000-0000-0000C2650000}"/>
    <cellStyle name="Normal 320 2" xfId="26051" xr:uid="{00000000-0005-0000-0000-0000C3650000}"/>
    <cellStyle name="Normal 320 2 2" xfId="26052" xr:uid="{00000000-0005-0000-0000-0000C4650000}"/>
    <cellStyle name="Normal 320 2 2 2" xfId="26053" xr:uid="{00000000-0005-0000-0000-0000C5650000}"/>
    <cellStyle name="Normal 320 2 3" xfId="26054" xr:uid="{00000000-0005-0000-0000-0000C6650000}"/>
    <cellStyle name="Normal 320 2 3 2" xfId="26055" xr:uid="{00000000-0005-0000-0000-0000C7650000}"/>
    <cellStyle name="Normal 320 2 3 2 2" xfId="26056" xr:uid="{00000000-0005-0000-0000-0000C8650000}"/>
    <cellStyle name="Normal 320 2 3 3" xfId="26057" xr:uid="{00000000-0005-0000-0000-0000C9650000}"/>
    <cellStyle name="Normal 320 2 4" xfId="26058" xr:uid="{00000000-0005-0000-0000-0000CA650000}"/>
    <cellStyle name="Normal 320 2 4 2" xfId="26059" xr:uid="{00000000-0005-0000-0000-0000CB650000}"/>
    <cellStyle name="Normal 320 2 4 2 2" xfId="26060" xr:uid="{00000000-0005-0000-0000-0000CC650000}"/>
    <cellStyle name="Normal 320 2 4 3" xfId="26061" xr:uid="{00000000-0005-0000-0000-0000CD650000}"/>
    <cellStyle name="Normal 320 2 5" xfId="26062" xr:uid="{00000000-0005-0000-0000-0000CE650000}"/>
    <cellStyle name="Normal 320 3" xfId="26063" xr:uid="{00000000-0005-0000-0000-0000CF650000}"/>
    <cellStyle name="Normal 320 3 2" xfId="26064" xr:uid="{00000000-0005-0000-0000-0000D0650000}"/>
    <cellStyle name="Normal 320 3 2 2" xfId="26065" xr:uid="{00000000-0005-0000-0000-0000D1650000}"/>
    <cellStyle name="Normal 320 3 2 2 2" xfId="26066" xr:uid="{00000000-0005-0000-0000-0000D2650000}"/>
    <cellStyle name="Normal 320 3 2 3" xfId="26067" xr:uid="{00000000-0005-0000-0000-0000D3650000}"/>
    <cellStyle name="Normal 320 3 2 3 2" xfId="26068" xr:uid="{00000000-0005-0000-0000-0000D4650000}"/>
    <cellStyle name="Normal 320 3 2 3 2 2" xfId="26069" xr:uid="{00000000-0005-0000-0000-0000D5650000}"/>
    <cellStyle name="Normal 320 3 2 3 3" xfId="26070" xr:uid="{00000000-0005-0000-0000-0000D6650000}"/>
    <cellStyle name="Normal 320 3 2 4" xfId="26071" xr:uid="{00000000-0005-0000-0000-0000D7650000}"/>
    <cellStyle name="Normal 320 3 3" xfId="26072" xr:uid="{00000000-0005-0000-0000-0000D8650000}"/>
    <cellStyle name="Normal 320 3 3 2" xfId="26073" xr:uid="{00000000-0005-0000-0000-0000D9650000}"/>
    <cellStyle name="Normal 320 3 3 2 2" xfId="26074" xr:uid="{00000000-0005-0000-0000-0000DA650000}"/>
    <cellStyle name="Normal 320 3 3 3" xfId="26075" xr:uid="{00000000-0005-0000-0000-0000DB650000}"/>
    <cellStyle name="Normal 320 3 4" xfId="26076" xr:uid="{00000000-0005-0000-0000-0000DC650000}"/>
    <cellStyle name="Normal 320 3 4 2" xfId="26077" xr:uid="{00000000-0005-0000-0000-0000DD650000}"/>
    <cellStyle name="Normal 320 3 4 2 2" xfId="26078" xr:uid="{00000000-0005-0000-0000-0000DE650000}"/>
    <cellStyle name="Normal 320 3 4 3" xfId="26079" xr:uid="{00000000-0005-0000-0000-0000DF650000}"/>
    <cellStyle name="Normal 320 3 5" xfId="26080" xr:uid="{00000000-0005-0000-0000-0000E0650000}"/>
    <cellStyle name="Normal 320 3 5 2" xfId="26081" xr:uid="{00000000-0005-0000-0000-0000E1650000}"/>
    <cellStyle name="Normal 320 3 5 2 2" xfId="26082" xr:uid="{00000000-0005-0000-0000-0000E2650000}"/>
    <cellStyle name="Normal 320 3 5 3" xfId="26083" xr:uid="{00000000-0005-0000-0000-0000E3650000}"/>
    <cellStyle name="Normal 320 3 6" xfId="26084" xr:uid="{00000000-0005-0000-0000-0000E4650000}"/>
    <cellStyle name="Normal 320 4" xfId="26085" xr:uid="{00000000-0005-0000-0000-0000E5650000}"/>
    <cellStyle name="Normal 320 4 2" xfId="26086" xr:uid="{00000000-0005-0000-0000-0000E6650000}"/>
    <cellStyle name="Normal 320 4 2 2" xfId="26087" xr:uid="{00000000-0005-0000-0000-0000E7650000}"/>
    <cellStyle name="Normal 320 4 3" xfId="26088" xr:uid="{00000000-0005-0000-0000-0000E8650000}"/>
    <cellStyle name="Normal 320 5" xfId="26089" xr:uid="{00000000-0005-0000-0000-0000E9650000}"/>
    <cellStyle name="Normal 320 5 2" xfId="26090" xr:uid="{00000000-0005-0000-0000-0000EA650000}"/>
    <cellStyle name="Normal 320 5 2 2" xfId="26091" xr:uid="{00000000-0005-0000-0000-0000EB650000}"/>
    <cellStyle name="Normal 320 5 3" xfId="26092" xr:uid="{00000000-0005-0000-0000-0000EC650000}"/>
    <cellStyle name="Normal 320 6" xfId="26093" xr:uid="{00000000-0005-0000-0000-0000ED650000}"/>
    <cellStyle name="Normal 320 6 2" xfId="26094" xr:uid="{00000000-0005-0000-0000-0000EE650000}"/>
    <cellStyle name="Normal 320 6 2 2" xfId="26095" xr:uid="{00000000-0005-0000-0000-0000EF650000}"/>
    <cellStyle name="Normal 320 6 3" xfId="26096" xr:uid="{00000000-0005-0000-0000-0000F0650000}"/>
    <cellStyle name="Normal 320 7" xfId="26097" xr:uid="{00000000-0005-0000-0000-0000F1650000}"/>
    <cellStyle name="Normal 321" xfId="26098" xr:uid="{00000000-0005-0000-0000-0000F2650000}"/>
    <cellStyle name="Normal 321 2" xfId="26099" xr:uid="{00000000-0005-0000-0000-0000F3650000}"/>
    <cellStyle name="Normal 321 2 2" xfId="26100" xr:uid="{00000000-0005-0000-0000-0000F4650000}"/>
    <cellStyle name="Normal 321 2 2 2" xfId="26101" xr:uid="{00000000-0005-0000-0000-0000F5650000}"/>
    <cellStyle name="Normal 321 2 3" xfId="26102" xr:uid="{00000000-0005-0000-0000-0000F6650000}"/>
    <cellStyle name="Normal 321 2 3 2" xfId="26103" xr:uid="{00000000-0005-0000-0000-0000F7650000}"/>
    <cellStyle name="Normal 321 2 3 2 2" xfId="26104" xr:uid="{00000000-0005-0000-0000-0000F8650000}"/>
    <cellStyle name="Normal 321 2 3 3" xfId="26105" xr:uid="{00000000-0005-0000-0000-0000F9650000}"/>
    <cellStyle name="Normal 321 2 4" xfId="26106" xr:uid="{00000000-0005-0000-0000-0000FA650000}"/>
    <cellStyle name="Normal 321 2 4 2" xfId="26107" xr:uid="{00000000-0005-0000-0000-0000FB650000}"/>
    <cellStyle name="Normal 321 2 4 2 2" xfId="26108" xr:uid="{00000000-0005-0000-0000-0000FC650000}"/>
    <cellStyle name="Normal 321 2 4 3" xfId="26109" xr:uid="{00000000-0005-0000-0000-0000FD650000}"/>
    <cellStyle name="Normal 321 2 5" xfId="26110" xr:uid="{00000000-0005-0000-0000-0000FE650000}"/>
    <cellStyle name="Normal 321 3" xfId="26111" xr:uid="{00000000-0005-0000-0000-0000FF650000}"/>
    <cellStyle name="Normal 321 3 2" xfId="26112" xr:uid="{00000000-0005-0000-0000-000000660000}"/>
    <cellStyle name="Normal 321 3 2 2" xfId="26113" xr:uid="{00000000-0005-0000-0000-000001660000}"/>
    <cellStyle name="Normal 321 3 2 2 2" xfId="26114" xr:uid="{00000000-0005-0000-0000-000002660000}"/>
    <cellStyle name="Normal 321 3 2 3" xfId="26115" xr:uid="{00000000-0005-0000-0000-000003660000}"/>
    <cellStyle name="Normal 321 3 2 3 2" xfId="26116" xr:uid="{00000000-0005-0000-0000-000004660000}"/>
    <cellStyle name="Normal 321 3 2 3 2 2" xfId="26117" xr:uid="{00000000-0005-0000-0000-000005660000}"/>
    <cellStyle name="Normal 321 3 2 3 3" xfId="26118" xr:uid="{00000000-0005-0000-0000-000006660000}"/>
    <cellStyle name="Normal 321 3 2 4" xfId="26119" xr:uid="{00000000-0005-0000-0000-000007660000}"/>
    <cellStyle name="Normal 321 3 3" xfId="26120" xr:uid="{00000000-0005-0000-0000-000008660000}"/>
    <cellStyle name="Normal 321 3 3 2" xfId="26121" xr:uid="{00000000-0005-0000-0000-000009660000}"/>
    <cellStyle name="Normal 321 3 3 2 2" xfId="26122" xr:uid="{00000000-0005-0000-0000-00000A660000}"/>
    <cellStyle name="Normal 321 3 3 3" xfId="26123" xr:uid="{00000000-0005-0000-0000-00000B660000}"/>
    <cellStyle name="Normal 321 3 4" xfId="26124" xr:uid="{00000000-0005-0000-0000-00000C660000}"/>
    <cellStyle name="Normal 321 3 4 2" xfId="26125" xr:uid="{00000000-0005-0000-0000-00000D660000}"/>
    <cellStyle name="Normal 321 3 4 2 2" xfId="26126" xr:uid="{00000000-0005-0000-0000-00000E660000}"/>
    <cellStyle name="Normal 321 3 4 3" xfId="26127" xr:uid="{00000000-0005-0000-0000-00000F660000}"/>
    <cellStyle name="Normal 321 3 5" xfId="26128" xr:uid="{00000000-0005-0000-0000-000010660000}"/>
    <cellStyle name="Normal 321 3 5 2" xfId="26129" xr:uid="{00000000-0005-0000-0000-000011660000}"/>
    <cellStyle name="Normal 321 3 5 2 2" xfId="26130" xr:uid="{00000000-0005-0000-0000-000012660000}"/>
    <cellStyle name="Normal 321 3 5 3" xfId="26131" xr:uid="{00000000-0005-0000-0000-000013660000}"/>
    <cellStyle name="Normal 321 3 6" xfId="26132" xr:uid="{00000000-0005-0000-0000-000014660000}"/>
    <cellStyle name="Normal 321 4" xfId="26133" xr:uid="{00000000-0005-0000-0000-000015660000}"/>
    <cellStyle name="Normal 321 4 2" xfId="26134" xr:uid="{00000000-0005-0000-0000-000016660000}"/>
    <cellStyle name="Normal 321 4 2 2" xfId="26135" xr:uid="{00000000-0005-0000-0000-000017660000}"/>
    <cellStyle name="Normal 321 4 3" xfId="26136" xr:uid="{00000000-0005-0000-0000-000018660000}"/>
    <cellStyle name="Normal 321 5" xfId="26137" xr:uid="{00000000-0005-0000-0000-000019660000}"/>
    <cellStyle name="Normal 321 5 2" xfId="26138" xr:uid="{00000000-0005-0000-0000-00001A660000}"/>
    <cellStyle name="Normal 321 5 2 2" xfId="26139" xr:uid="{00000000-0005-0000-0000-00001B660000}"/>
    <cellStyle name="Normal 321 5 3" xfId="26140" xr:uid="{00000000-0005-0000-0000-00001C660000}"/>
    <cellStyle name="Normal 321 6" xfId="26141" xr:uid="{00000000-0005-0000-0000-00001D660000}"/>
    <cellStyle name="Normal 321 6 2" xfId="26142" xr:uid="{00000000-0005-0000-0000-00001E660000}"/>
    <cellStyle name="Normal 321 6 2 2" xfId="26143" xr:uid="{00000000-0005-0000-0000-00001F660000}"/>
    <cellStyle name="Normal 321 6 3" xfId="26144" xr:uid="{00000000-0005-0000-0000-000020660000}"/>
    <cellStyle name="Normal 321 7" xfId="26145" xr:uid="{00000000-0005-0000-0000-000021660000}"/>
    <cellStyle name="Normal 322" xfId="26146" xr:uid="{00000000-0005-0000-0000-000022660000}"/>
    <cellStyle name="Normal 322 2" xfId="26147" xr:uid="{00000000-0005-0000-0000-000023660000}"/>
    <cellStyle name="Normal 322 2 2" xfId="26148" xr:uid="{00000000-0005-0000-0000-000024660000}"/>
    <cellStyle name="Normal 322 2 2 2" xfId="26149" xr:uid="{00000000-0005-0000-0000-000025660000}"/>
    <cellStyle name="Normal 322 2 3" xfId="26150" xr:uid="{00000000-0005-0000-0000-000026660000}"/>
    <cellStyle name="Normal 322 2 3 2" xfId="26151" xr:uid="{00000000-0005-0000-0000-000027660000}"/>
    <cellStyle name="Normal 322 2 3 2 2" xfId="26152" xr:uid="{00000000-0005-0000-0000-000028660000}"/>
    <cellStyle name="Normal 322 2 3 3" xfId="26153" xr:uid="{00000000-0005-0000-0000-000029660000}"/>
    <cellStyle name="Normal 322 2 4" xfId="26154" xr:uid="{00000000-0005-0000-0000-00002A660000}"/>
    <cellStyle name="Normal 322 2 4 2" xfId="26155" xr:uid="{00000000-0005-0000-0000-00002B660000}"/>
    <cellStyle name="Normal 322 2 4 2 2" xfId="26156" xr:uid="{00000000-0005-0000-0000-00002C660000}"/>
    <cellStyle name="Normal 322 2 4 3" xfId="26157" xr:uid="{00000000-0005-0000-0000-00002D660000}"/>
    <cellStyle name="Normal 322 2 5" xfId="26158" xr:uid="{00000000-0005-0000-0000-00002E660000}"/>
    <cellStyle name="Normal 322 3" xfId="26159" xr:uid="{00000000-0005-0000-0000-00002F660000}"/>
    <cellStyle name="Normal 322 3 2" xfId="26160" xr:uid="{00000000-0005-0000-0000-000030660000}"/>
    <cellStyle name="Normal 322 3 2 2" xfId="26161" xr:uid="{00000000-0005-0000-0000-000031660000}"/>
    <cellStyle name="Normal 322 3 2 2 2" xfId="26162" xr:uid="{00000000-0005-0000-0000-000032660000}"/>
    <cellStyle name="Normal 322 3 2 3" xfId="26163" xr:uid="{00000000-0005-0000-0000-000033660000}"/>
    <cellStyle name="Normal 322 3 2 3 2" xfId="26164" xr:uid="{00000000-0005-0000-0000-000034660000}"/>
    <cellStyle name="Normal 322 3 2 3 2 2" xfId="26165" xr:uid="{00000000-0005-0000-0000-000035660000}"/>
    <cellStyle name="Normal 322 3 2 3 3" xfId="26166" xr:uid="{00000000-0005-0000-0000-000036660000}"/>
    <cellStyle name="Normal 322 3 2 4" xfId="26167" xr:uid="{00000000-0005-0000-0000-000037660000}"/>
    <cellStyle name="Normal 322 3 3" xfId="26168" xr:uid="{00000000-0005-0000-0000-000038660000}"/>
    <cellStyle name="Normal 322 3 3 2" xfId="26169" xr:uid="{00000000-0005-0000-0000-000039660000}"/>
    <cellStyle name="Normal 322 3 3 2 2" xfId="26170" xr:uid="{00000000-0005-0000-0000-00003A660000}"/>
    <cellStyle name="Normal 322 3 3 3" xfId="26171" xr:uid="{00000000-0005-0000-0000-00003B660000}"/>
    <cellStyle name="Normal 322 3 4" xfId="26172" xr:uid="{00000000-0005-0000-0000-00003C660000}"/>
    <cellStyle name="Normal 322 3 4 2" xfId="26173" xr:uid="{00000000-0005-0000-0000-00003D660000}"/>
    <cellStyle name="Normal 322 3 4 2 2" xfId="26174" xr:uid="{00000000-0005-0000-0000-00003E660000}"/>
    <cellStyle name="Normal 322 3 4 3" xfId="26175" xr:uid="{00000000-0005-0000-0000-00003F660000}"/>
    <cellStyle name="Normal 322 3 5" xfId="26176" xr:uid="{00000000-0005-0000-0000-000040660000}"/>
    <cellStyle name="Normal 322 3 5 2" xfId="26177" xr:uid="{00000000-0005-0000-0000-000041660000}"/>
    <cellStyle name="Normal 322 3 5 2 2" xfId="26178" xr:uid="{00000000-0005-0000-0000-000042660000}"/>
    <cellStyle name="Normal 322 3 5 3" xfId="26179" xr:uid="{00000000-0005-0000-0000-000043660000}"/>
    <cellStyle name="Normal 322 3 6" xfId="26180" xr:uid="{00000000-0005-0000-0000-000044660000}"/>
    <cellStyle name="Normal 322 4" xfId="26181" xr:uid="{00000000-0005-0000-0000-000045660000}"/>
    <cellStyle name="Normal 322 4 2" xfId="26182" xr:uid="{00000000-0005-0000-0000-000046660000}"/>
    <cellStyle name="Normal 322 4 2 2" xfId="26183" xr:uid="{00000000-0005-0000-0000-000047660000}"/>
    <cellStyle name="Normal 322 4 3" xfId="26184" xr:uid="{00000000-0005-0000-0000-000048660000}"/>
    <cellStyle name="Normal 322 5" xfId="26185" xr:uid="{00000000-0005-0000-0000-000049660000}"/>
    <cellStyle name="Normal 322 5 2" xfId="26186" xr:uid="{00000000-0005-0000-0000-00004A660000}"/>
    <cellStyle name="Normal 322 5 2 2" xfId="26187" xr:uid="{00000000-0005-0000-0000-00004B660000}"/>
    <cellStyle name="Normal 322 5 3" xfId="26188" xr:uid="{00000000-0005-0000-0000-00004C660000}"/>
    <cellStyle name="Normal 322 6" xfId="26189" xr:uid="{00000000-0005-0000-0000-00004D660000}"/>
    <cellStyle name="Normal 322 6 2" xfId="26190" xr:uid="{00000000-0005-0000-0000-00004E660000}"/>
    <cellStyle name="Normal 322 6 2 2" xfId="26191" xr:uid="{00000000-0005-0000-0000-00004F660000}"/>
    <cellStyle name="Normal 322 6 3" xfId="26192" xr:uid="{00000000-0005-0000-0000-000050660000}"/>
    <cellStyle name="Normal 322 7" xfId="26193" xr:uid="{00000000-0005-0000-0000-000051660000}"/>
    <cellStyle name="Normal 323" xfId="26194" xr:uid="{00000000-0005-0000-0000-000052660000}"/>
    <cellStyle name="Normal 323 2" xfId="26195" xr:uid="{00000000-0005-0000-0000-000053660000}"/>
    <cellStyle name="Normal 323 2 2" xfId="26196" xr:uid="{00000000-0005-0000-0000-000054660000}"/>
    <cellStyle name="Normal 323 2 2 2" xfId="26197" xr:uid="{00000000-0005-0000-0000-000055660000}"/>
    <cellStyle name="Normal 323 2 3" xfId="26198" xr:uid="{00000000-0005-0000-0000-000056660000}"/>
    <cellStyle name="Normal 323 2 3 2" xfId="26199" xr:uid="{00000000-0005-0000-0000-000057660000}"/>
    <cellStyle name="Normal 323 2 3 2 2" xfId="26200" xr:uid="{00000000-0005-0000-0000-000058660000}"/>
    <cellStyle name="Normal 323 2 3 3" xfId="26201" xr:uid="{00000000-0005-0000-0000-000059660000}"/>
    <cellStyle name="Normal 323 2 4" xfId="26202" xr:uid="{00000000-0005-0000-0000-00005A660000}"/>
    <cellStyle name="Normal 323 2 4 2" xfId="26203" xr:uid="{00000000-0005-0000-0000-00005B660000}"/>
    <cellStyle name="Normal 323 2 4 2 2" xfId="26204" xr:uid="{00000000-0005-0000-0000-00005C660000}"/>
    <cellStyle name="Normal 323 2 4 3" xfId="26205" xr:uid="{00000000-0005-0000-0000-00005D660000}"/>
    <cellStyle name="Normal 323 2 5" xfId="26206" xr:uid="{00000000-0005-0000-0000-00005E660000}"/>
    <cellStyle name="Normal 323 3" xfId="26207" xr:uid="{00000000-0005-0000-0000-00005F660000}"/>
    <cellStyle name="Normal 323 3 2" xfId="26208" xr:uid="{00000000-0005-0000-0000-000060660000}"/>
    <cellStyle name="Normal 323 3 2 2" xfId="26209" xr:uid="{00000000-0005-0000-0000-000061660000}"/>
    <cellStyle name="Normal 323 3 2 2 2" xfId="26210" xr:uid="{00000000-0005-0000-0000-000062660000}"/>
    <cellStyle name="Normal 323 3 2 3" xfId="26211" xr:uid="{00000000-0005-0000-0000-000063660000}"/>
    <cellStyle name="Normal 323 3 2 3 2" xfId="26212" xr:uid="{00000000-0005-0000-0000-000064660000}"/>
    <cellStyle name="Normal 323 3 2 3 2 2" xfId="26213" xr:uid="{00000000-0005-0000-0000-000065660000}"/>
    <cellStyle name="Normal 323 3 2 3 3" xfId="26214" xr:uid="{00000000-0005-0000-0000-000066660000}"/>
    <cellStyle name="Normal 323 3 2 4" xfId="26215" xr:uid="{00000000-0005-0000-0000-000067660000}"/>
    <cellStyle name="Normal 323 3 3" xfId="26216" xr:uid="{00000000-0005-0000-0000-000068660000}"/>
    <cellStyle name="Normal 323 3 3 2" xfId="26217" xr:uid="{00000000-0005-0000-0000-000069660000}"/>
    <cellStyle name="Normal 323 3 3 2 2" xfId="26218" xr:uid="{00000000-0005-0000-0000-00006A660000}"/>
    <cellStyle name="Normal 323 3 3 3" xfId="26219" xr:uid="{00000000-0005-0000-0000-00006B660000}"/>
    <cellStyle name="Normal 323 3 4" xfId="26220" xr:uid="{00000000-0005-0000-0000-00006C660000}"/>
    <cellStyle name="Normal 323 3 4 2" xfId="26221" xr:uid="{00000000-0005-0000-0000-00006D660000}"/>
    <cellStyle name="Normal 323 3 4 2 2" xfId="26222" xr:uid="{00000000-0005-0000-0000-00006E660000}"/>
    <cellStyle name="Normal 323 3 4 3" xfId="26223" xr:uid="{00000000-0005-0000-0000-00006F660000}"/>
    <cellStyle name="Normal 323 3 5" xfId="26224" xr:uid="{00000000-0005-0000-0000-000070660000}"/>
    <cellStyle name="Normal 323 3 5 2" xfId="26225" xr:uid="{00000000-0005-0000-0000-000071660000}"/>
    <cellStyle name="Normal 323 3 5 2 2" xfId="26226" xr:uid="{00000000-0005-0000-0000-000072660000}"/>
    <cellStyle name="Normal 323 3 5 3" xfId="26227" xr:uid="{00000000-0005-0000-0000-000073660000}"/>
    <cellStyle name="Normal 323 3 6" xfId="26228" xr:uid="{00000000-0005-0000-0000-000074660000}"/>
    <cellStyle name="Normal 323 4" xfId="26229" xr:uid="{00000000-0005-0000-0000-000075660000}"/>
    <cellStyle name="Normal 323 4 2" xfId="26230" xr:uid="{00000000-0005-0000-0000-000076660000}"/>
    <cellStyle name="Normal 323 4 2 2" xfId="26231" xr:uid="{00000000-0005-0000-0000-000077660000}"/>
    <cellStyle name="Normal 323 4 3" xfId="26232" xr:uid="{00000000-0005-0000-0000-000078660000}"/>
    <cellStyle name="Normal 323 5" xfId="26233" xr:uid="{00000000-0005-0000-0000-000079660000}"/>
    <cellStyle name="Normal 323 5 2" xfId="26234" xr:uid="{00000000-0005-0000-0000-00007A660000}"/>
    <cellStyle name="Normal 323 5 2 2" xfId="26235" xr:uid="{00000000-0005-0000-0000-00007B660000}"/>
    <cellStyle name="Normal 323 5 3" xfId="26236" xr:uid="{00000000-0005-0000-0000-00007C660000}"/>
    <cellStyle name="Normal 323 6" xfId="26237" xr:uid="{00000000-0005-0000-0000-00007D660000}"/>
    <cellStyle name="Normal 323 6 2" xfId="26238" xr:uid="{00000000-0005-0000-0000-00007E660000}"/>
    <cellStyle name="Normal 323 6 2 2" xfId="26239" xr:uid="{00000000-0005-0000-0000-00007F660000}"/>
    <cellStyle name="Normal 323 6 3" xfId="26240" xr:uid="{00000000-0005-0000-0000-000080660000}"/>
    <cellStyle name="Normal 323 7" xfId="26241" xr:uid="{00000000-0005-0000-0000-000081660000}"/>
    <cellStyle name="Normal 324" xfId="26242" xr:uid="{00000000-0005-0000-0000-000082660000}"/>
    <cellStyle name="Normal 324 2" xfId="26243" xr:uid="{00000000-0005-0000-0000-000083660000}"/>
    <cellStyle name="Normal 324 2 2" xfId="26244" xr:uid="{00000000-0005-0000-0000-000084660000}"/>
    <cellStyle name="Normal 324 2 2 2" xfId="26245" xr:uid="{00000000-0005-0000-0000-000085660000}"/>
    <cellStyle name="Normal 324 2 3" xfId="26246" xr:uid="{00000000-0005-0000-0000-000086660000}"/>
    <cellStyle name="Normal 324 2 3 2" xfId="26247" xr:uid="{00000000-0005-0000-0000-000087660000}"/>
    <cellStyle name="Normal 324 2 3 2 2" xfId="26248" xr:uid="{00000000-0005-0000-0000-000088660000}"/>
    <cellStyle name="Normal 324 2 3 3" xfId="26249" xr:uid="{00000000-0005-0000-0000-000089660000}"/>
    <cellStyle name="Normal 324 2 4" xfId="26250" xr:uid="{00000000-0005-0000-0000-00008A660000}"/>
    <cellStyle name="Normal 324 2 4 2" xfId="26251" xr:uid="{00000000-0005-0000-0000-00008B660000}"/>
    <cellStyle name="Normal 324 2 4 2 2" xfId="26252" xr:uid="{00000000-0005-0000-0000-00008C660000}"/>
    <cellStyle name="Normal 324 2 4 3" xfId="26253" xr:uid="{00000000-0005-0000-0000-00008D660000}"/>
    <cellStyle name="Normal 324 2 5" xfId="26254" xr:uid="{00000000-0005-0000-0000-00008E660000}"/>
    <cellStyle name="Normal 324 3" xfId="26255" xr:uid="{00000000-0005-0000-0000-00008F660000}"/>
    <cellStyle name="Normal 324 3 2" xfId="26256" xr:uid="{00000000-0005-0000-0000-000090660000}"/>
    <cellStyle name="Normal 324 3 2 2" xfId="26257" xr:uid="{00000000-0005-0000-0000-000091660000}"/>
    <cellStyle name="Normal 324 3 2 2 2" xfId="26258" xr:uid="{00000000-0005-0000-0000-000092660000}"/>
    <cellStyle name="Normal 324 3 2 3" xfId="26259" xr:uid="{00000000-0005-0000-0000-000093660000}"/>
    <cellStyle name="Normal 324 3 2 3 2" xfId="26260" xr:uid="{00000000-0005-0000-0000-000094660000}"/>
    <cellStyle name="Normal 324 3 2 3 2 2" xfId="26261" xr:uid="{00000000-0005-0000-0000-000095660000}"/>
    <cellStyle name="Normal 324 3 2 3 3" xfId="26262" xr:uid="{00000000-0005-0000-0000-000096660000}"/>
    <cellStyle name="Normal 324 3 2 4" xfId="26263" xr:uid="{00000000-0005-0000-0000-000097660000}"/>
    <cellStyle name="Normal 324 3 3" xfId="26264" xr:uid="{00000000-0005-0000-0000-000098660000}"/>
    <cellStyle name="Normal 324 3 3 2" xfId="26265" xr:uid="{00000000-0005-0000-0000-000099660000}"/>
    <cellStyle name="Normal 324 3 3 2 2" xfId="26266" xr:uid="{00000000-0005-0000-0000-00009A660000}"/>
    <cellStyle name="Normal 324 3 3 3" xfId="26267" xr:uid="{00000000-0005-0000-0000-00009B660000}"/>
    <cellStyle name="Normal 324 3 4" xfId="26268" xr:uid="{00000000-0005-0000-0000-00009C660000}"/>
    <cellStyle name="Normal 324 3 4 2" xfId="26269" xr:uid="{00000000-0005-0000-0000-00009D660000}"/>
    <cellStyle name="Normal 324 3 4 2 2" xfId="26270" xr:uid="{00000000-0005-0000-0000-00009E660000}"/>
    <cellStyle name="Normal 324 3 4 3" xfId="26271" xr:uid="{00000000-0005-0000-0000-00009F660000}"/>
    <cellStyle name="Normal 324 3 5" xfId="26272" xr:uid="{00000000-0005-0000-0000-0000A0660000}"/>
    <cellStyle name="Normal 324 3 5 2" xfId="26273" xr:uid="{00000000-0005-0000-0000-0000A1660000}"/>
    <cellStyle name="Normal 324 3 5 2 2" xfId="26274" xr:uid="{00000000-0005-0000-0000-0000A2660000}"/>
    <cellStyle name="Normal 324 3 5 3" xfId="26275" xr:uid="{00000000-0005-0000-0000-0000A3660000}"/>
    <cellStyle name="Normal 324 3 6" xfId="26276" xr:uid="{00000000-0005-0000-0000-0000A4660000}"/>
    <cellStyle name="Normal 324 4" xfId="26277" xr:uid="{00000000-0005-0000-0000-0000A5660000}"/>
    <cellStyle name="Normal 324 4 2" xfId="26278" xr:uid="{00000000-0005-0000-0000-0000A6660000}"/>
    <cellStyle name="Normal 324 4 2 2" xfId="26279" xr:uid="{00000000-0005-0000-0000-0000A7660000}"/>
    <cellStyle name="Normal 324 4 3" xfId="26280" xr:uid="{00000000-0005-0000-0000-0000A8660000}"/>
    <cellStyle name="Normal 324 5" xfId="26281" xr:uid="{00000000-0005-0000-0000-0000A9660000}"/>
    <cellStyle name="Normal 324 5 2" xfId="26282" xr:uid="{00000000-0005-0000-0000-0000AA660000}"/>
    <cellStyle name="Normal 324 5 2 2" xfId="26283" xr:uid="{00000000-0005-0000-0000-0000AB660000}"/>
    <cellStyle name="Normal 324 5 3" xfId="26284" xr:uid="{00000000-0005-0000-0000-0000AC660000}"/>
    <cellStyle name="Normal 324 6" xfId="26285" xr:uid="{00000000-0005-0000-0000-0000AD660000}"/>
    <cellStyle name="Normal 324 6 2" xfId="26286" xr:uid="{00000000-0005-0000-0000-0000AE660000}"/>
    <cellStyle name="Normal 324 6 2 2" xfId="26287" xr:uid="{00000000-0005-0000-0000-0000AF660000}"/>
    <cellStyle name="Normal 324 6 3" xfId="26288" xr:uid="{00000000-0005-0000-0000-0000B0660000}"/>
    <cellStyle name="Normal 324 7" xfId="26289" xr:uid="{00000000-0005-0000-0000-0000B1660000}"/>
    <cellStyle name="Normal 325" xfId="26290" xr:uid="{00000000-0005-0000-0000-0000B2660000}"/>
    <cellStyle name="Normal 325 2" xfId="26291" xr:uid="{00000000-0005-0000-0000-0000B3660000}"/>
    <cellStyle name="Normal 325 2 2" xfId="26292" xr:uid="{00000000-0005-0000-0000-0000B4660000}"/>
    <cellStyle name="Normal 325 2 2 2" xfId="26293" xr:uid="{00000000-0005-0000-0000-0000B5660000}"/>
    <cellStyle name="Normal 325 2 3" xfId="26294" xr:uid="{00000000-0005-0000-0000-0000B6660000}"/>
    <cellStyle name="Normal 325 2 3 2" xfId="26295" xr:uid="{00000000-0005-0000-0000-0000B7660000}"/>
    <cellStyle name="Normal 325 2 3 2 2" xfId="26296" xr:uid="{00000000-0005-0000-0000-0000B8660000}"/>
    <cellStyle name="Normal 325 2 3 3" xfId="26297" xr:uid="{00000000-0005-0000-0000-0000B9660000}"/>
    <cellStyle name="Normal 325 2 4" xfId="26298" xr:uid="{00000000-0005-0000-0000-0000BA660000}"/>
    <cellStyle name="Normal 325 2 4 2" xfId="26299" xr:uid="{00000000-0005-0000-0000-0000BB660000}"/>
    <cellStyle name="Normal 325 2 4 2 2" xfId="26300" xr:uid="{00000000-0005-0000-0000-0000BC660000}"/>
    <cellStyle name="Normal 325 2 4 3" xfId="26301" xr:uid="{00000000-0005-0000-0000-0000BD660000}"/>
    <cellStyle name="Normal 325 2 5" xfId="26302" xr:uid="{00000000-0005-0000-0000-0000BE660000}"/>
    <cellStyle name="Normal 325 3" xfId="26303" xr:uid="{00000000-0005-0000-0000-0000BF660000}"/>
    <cellStyle name="Normal 325 3 2" xfId="26304" xr:uid="{00000000-0005-0000-0000-0000C0660000}"/>
    <cellStyle name="Normal 325 3 2 2" xfId="26305" xr:uid="{00000000-0005-0000-0000-0000C1660000}"/>
    <cellStyle name="Normal 325 3 2 2 2" xfId="26306" xr:uid="{00000000-0005-0000-0000-0000C2660000}"/>
    <cellStyle name="Normal 325 3 2 3" xfId="26307" xr:uid="{00000000-0005-0000-0000-0000C3660000}"/>
    <cellStyle name="Normal 325 3 2 3 2" xfId="26308" xr:uid="{00000000-0005-0000-0000-0000C4660000}"/>
    <cellStyle name="Normal 325 3 2 3 2 2" xfId="26309" xr:uid="{00000000-0005-0000-0000-0000C5660000}"/>
    <cellStyle name="Normal 325 3 2 3 3" xfId="26310" xr:uid="{00000000-0005-0000-0000-0000C6660000}"/>
    <cellStyle name="Normal 325 3 2 4" xfId="26311" xr:uid="{00000000-0005-0000-0000-0000C7660000}"/>
    <cellStyle name="Normal 325 3 3" xfId="26312" xr:uid="{00000000-0005-0000-0000-0000C8660000}"/>
    <cellStyle name="Normal 325 3 3 2" xfId="26313" xr:uid="{00000000-0005-0000-0000-0000C9660000}"/>
    <cellStyle name="Normal 325 3 3 2 2" xfId="26314" xr:uid="{00000000-0005-0000-0000-0000CA660000}"/>
    <cellStyle name="Normal 325 3 3 3" xfId="26315" xr:uid="{00000000-0005-0000-0000-0000CB660000}"/>
    <cellStyle name="Normal 325 3 4" xfId="26316" xr:uid="{00000000-0005-0000-0000-0000CC660000}"/>
    <cellStyle name="Normal 325 3 4 2" xfId="26317" xr:uid="{00000000-0005-0000-0000-0000CD660000}"/>
    <cellStyle name="Normal 325 3 4 2 2" xfId="26318" xr:uid="{00000000-0005-0000-0000-0000CE660000}"/>
    <cellStyle name="Normal 325 3 4 3" xfId="26319" xr:uid="{00000000-0005-0000-0000-0000CF660000}"/>
    <cellStyle name="Normal 325 3 5" xfId="26320" xr:uid="{00000000-0005-0000-0000-0000D0660000}"/>
    <cellStyle name="Normal 325 3 5 2" xfId="26321" xr:uid="{00000000-0005-0000-0000-0000D1660000}"/>
    <cellStyle name="Normal 325 3 5 2 2" xfId="26322" xr:uid="{00000000-0005-0000-0000-0000D2660000}"/>
    <cellStyle name="Normal 325 3 5 3" xfId="26323" xr:uid="{00000000-0005-0000-0000-0000D3660000}"/>
    <cellStyle name="Normal 325 3 6" xfId="26324" xr:uid="{00000000-0005-0000-0000-0000D4660000}"/>
    <cellStyle name="Normal 325 4" xfId="26325" xr:uid="{00000000-0005-0000-0000-0000D5660000}"/>
    <cellStyle name="Normal 325 4 2" xfId="26326" xr:uid="{00000000-0005-0000-0000-0000D6660000}"/>
    <cellStyle name="Normal 325 4 2 2" xfId="26327" xr:uid="{00000000-0005-0000-0000-0000D7660000}"/>
    <cellStyle name="Normal 325 4 3" xfId="26328" xr:uid="{00000000-0005-0000-0000-0000D8660000}"/>
    <cellStyle name="Normal 325 5" xfId="26329" xr:uid="{00000000-0005-0000-0000-0000D9660000}"/>
    <cellStyle name="Normal 325 5 2" xfId="26330" xr:uid="{00000000-0005-0000-0000-0000DA660000}"/>
    <cellStyle name="Normal 325 5 2 2" xfId="26331" xr:uid="{00000000-0005-0000-0000-0000DB660000}"/>
    <cellStyle name="Normal 325 5 3" xfId="26332" xr:uid="{00000000-0005-0000-0000-0000DC660000}"/>
    <cellStyle name="Normal 325 6" xfId="26333" xr:uid="{00000000-0005-0000-0000-0000DD660000}"/>
    <cellStyle name="Normal 325 6 2" xfId="26334" xr:uid="{00000000-0005-0000-0000-0000DE660000}"/>
    <cellStyle name="Normal 325 6 2 2" xfId="26335" xr:uid="{00000000-0005-0000-0000-0000DF660000}"/>
    <cellStyle name="Normal 325 6 3" xfId="26336" xr:uid="{00000000-0005-0000-0000-0000E0660000}"/>
    <cellStyle name="Normal 325 7" xfId="26337" xr:uid="{00000000-0005-0000-0000-0000E1660000}"/>
    <cellStyle name="Normal 326" xfId="26338" xr:uid="{00000000-0005-0000-0000-0000E2660000}"/>
    <cellStyle name="Normal 326 2" xfId="26339" xr:uid="{00000000-0005-0000-0000-0000E3660000}"/>
    <cellStyle name="Normal 326 2 2" xfId="26340" xr:uid="{00000000-0005-0000-0000-0000E4660000}"/>
    <cellStyle name="Normal 326 2 2 2" xfId="26341" xr:uid="{00000000-0005-0000-0000-0000E5660000}"/>
    <cellStyle name="Normal 326 2 3" xfId="26342" xr:uid="{00000000-0005-0000-0000-0000E6660000}"/>
    <cellStyle name="Normal 326 2 3 2" xfId="26343" xr:uid="{00000000-0005-0000-0000-0000E7660000}"/>
    <cellStyle name="Normal 326 2 3 2 2" xfId="26344" xr:uid="{00000000-0005-0000-0000-0000E8660000}"/>
    <cellStyle name="Normal 326 2 3 3" xfId="26345" xr:uid="{00000000-0005-0000-0000-0000E9660000}"/>
    <cellStyle name="Normal 326 2 4" xfId="26346" xr:uid="{00000000-0005-0000-0000-0000EA660000}"/>
    <cellStyle name="Normal 326 2 4 2" xfId="26347" xr:uid="{00000000-0005-0000-0000-0000EB660000}"/>
    <cellStyle name="Normal 326 2 4 2 2" xfId="26348" xr:uid="{00000000-0005-0000-0000-0000EC660000}"/>
    <cellStyle name="Normal 326 2 4 3" xfId="26349" xr:uid="{00000000-0005-0000-0000-0000ED660000}"/>
    <cellStyle name="Normal 326 2 5" xfId="26350" xr:uid="{00000000-0005-0000-0000-0000EE660000}"/>
    <cellStyle name="Normal 326 3" xfId="26351" xr:uid="{00000000-0005-0000-0000-0000EF660000}"/>
    <cellStyle name="Normal 326 3 2" xfId="26352" xr:uid="{00000000-0005-0000-0000-0000F0660000}"/>
    <cellStyle name="Normal 326 3 2 2" xfId="26353" xr:uid="{00000000-0005-0000-0000-0000F1660000}"/>
    <cellStyle name="Normal 326 3 2 2 2" xfId="26354" xr:uid="{00000000-0005-0000-0000-0000F2660000}"/>
    <cellStyle name="Normal 326 3 2 3" xfId="26355" xr:uid="{00000000-0005-0000-0000-0000F3660000}"/>
    <cellStyle name="Normal 326 3 2 3 2" xfId="26356" xr:uid="{00000000-0005-0000-0000-0000F4660000}"/>
    <cellStyle name="Normal 326 3 2 3 2 2" xfId="26357" xr:uid="{00000000-0005-0000-0000-0000F5660000}"/>
    <cellStyle name="Normal 326 3 2 3 3" xfId="26358" xr:uid="{00000000-0005-0000-0000-0000F6660000}"/>
    <cellStyle name="Normal 326 3 2 4" xfId="26359" xr:uid="{00000000-0005-0000-0000-0000F7660000}"/>
    <cellStyle name="Normal 326 3 3" xfId="26360" xr:uid="{00000000-0005-0000-0000-0000F8660000}"/>
    <cellStyle name="Normal 326 3 3 2" xfId="26361" xr:uid="{00000000-0005-0000-0000-0000F9660000}"/>
    <cellStyle name="Normal 326 3 3 2 2" xfId="26362" xr:uid="{00000000-0005-0000-0000-0000FA660000}"/>
    <cellStyle name="Normal 326 3 3 3" xfId="26363" xr:uid="{00000000-0005-0000-0000-0000FB660000}"/>
    <cellStyle name="Normal 326 3 4" xfId="26364" xr:uid="{00000000-0005-0000-0000-0000FC660000}"/>
    <cellStyle name="Normal 326 3 4 2" xfId="26365" xr:uid="{00000000-0005-0000-0000-0000FD660000}"/>
    <cellStyle name="Normal 326 3 4 2 2" xfId="26366" xr:uid="{00000000-0005-0000-0000-0000FE660000}"/>
    <cellStyle name="Normal 326 3 4 3" xfId="26367" xr:uid="{00000000-0005-0000-0000-0000FF660000}"/>
    <cellStyle name="Normal 326 3 5" xfId="26368" xr:uid="{00000000-0005-0000-0000-000000670000}"/>
    <cellStyle name="Normal 326 3 5 2" xfId="26369" xr:uid="{00000000-0005-0000-0000-000001670000}"/>
    <cellStyle name="Normal 326 3 5 2 2" xfId="26370" xr:uid="{00000000-0005-0000-0000-000002670000}"/>
    <cellStyle name="Normal 326 3 5 3" xfId="26371" xr:uid="{00000000-0005-0000-0000-000003670000}"/>
    <cellStyle name="Normal 326 3 6" xfId="26372" xr:uid="{00000000-0005-0000-0000-000004670000}"/>
    <cellStyle name="Normal 326 4" xfId="26373" xr:uid="{00000000-0005-0000-0000-000005670000}"/>
    <cellStyle name="Normal 326 4 2" xfId="26374" xr:uid="{00000000-0005-0000-0000-000006670000}"/>
    <cellStyle name="Normal 326 4 2 2" xfId="26375" xr:uid="{00000000-0005-0000-0000-000007670000}"/>
    <cellStyle name="Normal 326 4 3" xfId="26376" xr:uid="{00000000-0005-0000-0000-000008670000}"/>
    <cellStyle name="Normal 326 5" xfId="26377" xr:uid="{00000000-0005-0000-0000-000009670000}"/>
    <cellStyle name="Normal 326 5 2" xfId="26378" xr:uid="{00000000-0005-0000-0000-00000A670000}"/>
    <cellStyle name="Normal 326 5 2 2" xfId="26379" xr:uid="{00000000-0005-0000-0000-00000B670000}"/>
    <cellStyle name="Normal 326 5 3" xfId="26380" xr:uid="{00000000-0005-0000-0000-00000C670000}"/>
    <cellStyle name="Normal 326 6" xfId="26381" xr:uid="{00000000-0005-0000-0000-00000D670000}"/>
    <cellStyle name="Normal 326 6 2" xfId="26382" xr:uid="{00000000-0005-0000-0000-00000E670000}"/>
    <cellStyle name="Normal 326 6 2 2" xfId="26383" xr:uid="{00000000-0005-0000-0000-00000F670000}"/>
    <cellStyle name="Normal 326 6 3" xfId="26384" xr:uid="{00000000-0005-0000-0000-000010670000}"/>
    <cellStyle name="Normal 326 7" xfId="26385" xr:uid="{00000000-0005-0000-0000-000011670000}"/>
    <cellStyle name="Normal 327" xfId="26386" xr:uid="{00000000-0005-0000-0000-000012670000}"/>
    <cellStyle name="Normal 327 2" xfId="26387" xr:uid="{00000000-0005-0000-0000-000013670000}"/>
    <cellStyle name="Normal 327 2 2" xfId="26388" xr:uid="{00000000-0005-0000-0000-000014670000}"/>
    <cellStyle name="Normal 327 2 2 2" xfId="26389" xr:uid="{00000000-0005-0000-0000-000015670000}"/>
    <cellStyle name="Normal 327 2 3" xfId="26390" xr:uid="{00000000-0005-0000-0000-000016670000}"/>
    <cellStyle name="Normal 327 2 3 2" xfId="26391" xr:uid="{00000000-0005-0000-0000-000017670000}"/>
    <cellStyle name="Normal 327 2 3 2 2" xfId="26392" xr:uid="{00000000-0005-0000-0000-000018670000}"/>
    <cellStyle name="Normal 327 2 3 3" xfId="26393" xr:uid="{00000000-0005-0000-0000-000019670000}"/>
    <cellStyle name="Normal 327 2 4" xfId="26394" xr:uid="{00000000-0005-0000-0000-00001A670000}"/>
    <cellStyle name="Normal 327 2 4 2" xfId="26395" xr:uid="{00000000-0005-0000-0000-00001B670000}"/>
    <cellStyle name="Normal 327 2 4 2 2" xfId="26396" xr:uid="{00000000-0005-0000-0000-00001C670000}"/>
    <cellStyle name="Normal 327 2 4 3" xfId="26397" xr:uid="{00000000-0005-0000-0000-00001D670000}"/>
    <cellStyle name="Normal 327 2 5" xfId="26398" xr:uid="{00000000-0005-0000-0000-00001E670000}"/>
    <cellStyle name="Normal 327 3" xfId="26399" xr:uid="{00000000-0005-0000-0000-00001F670000}"/>
    <cellStyle name="Normal 327 3 2" xfId="26400" xr:uid="{00000000-0005-0000-0000-000020670000}"/>
    <cellStyle name="Normal 327 3 2 2" xfId="26401" xr:uid="{00000000-0005-0000-0000-000021670000}"/>
    <cellStyle name="Normal 327 3 2 2 2" xfId="26402" xr:uid="{00000000-0005-0000-0000-000022670000}"/>
    <cellStyle name="Normal 327 3 2 3" xfId="26403" xr:uid="{00000000-0005-0000-0000-000023670000}"/>
    <cellStyle name="Normal 327 3 2 3 2" xfId="26404" xr:uid="{00000000-0005-0000-0000-000024670000}"/>
    <cellStyle name="Normal 327 3 2 3 2 2" xfId="26405" xr:uid="{00000000-0005-0000-0000-000025670000}"/>
    <cellStyle name="Normal 327 3 2 3 3" xfId="26406" xr:uid="{00000000-0005-0000-0000-000026670000}"/>
    <cellStyle name="Normal 327 3 2 4" xfId="26407" xr:uid="{00000000-0005-0000-0000-000027670000}"/>
    <cellStyle name="Normal 327 3 3" xfId="26408" xr:uid="{00000000-0005-0000-0000-000028670000}"/>
    <cellStyle name="Normal 327 3 3 2" xfId="26409" xr:uid="{00000000-0005-0000-0000-000029670000}"/>
    <cellStyle name="Normal 327 3 3 2 2" xfId="26410" xr:uid="{00000000-0005-0000-0000-00002A670000}"/>
    <cellStyle name="Normal 327 3 3 3" xfId="26411" xr:uid="{00000000-0005-0000-0000-00002B670000}"/>
    <cellStyle name="Normal 327 3 4" xfId="26412" xr:uid="{00000000-0005-0000-0000-00002C670000}"/>
    <cellStyle name="Normal 327 3 4 2" xfId="26413" xr:uid="{00000000-0005-0000-0000-00002D670000}"/>
    <cellStyle name="Normal 327 3 4 2 2" xfId="26414" xr:uid="{00000000-0005-0000-0000-00002E670000}"/>
    <cellStyle name="Normal 327 3 4 3" xfId="26415" xr:uid="{00000000-0005-0000-0000-00002F670000}"/>
    <cellStyle name="Normal 327 3 5" xfId="26416" xr:uid="{00000000-0005-0000-0000-000030670000}"/>
    <cellStyle name="Normal 327 3 5 2" xfId="26417" xr:uid="{00000000-0005-0000-0000-000031670000}"/>
    <cellStyle name="Normal 327 3 5 2 2" xfId="26418" xr:uid="{00000000-0005-0000-0000-000032670000}"/>
    <cellStyle name="Normal 327 3 5 3" xfId="26419" xr:uid="{00000000-0005-0000-0000-000033670000}"/>
    <cellStyle name="Normal 327 3 6" xfId="26420" xr:uid="{00000000-0005-0000-0000-000034670000}"/>
    <cellStyle name="Normal 327 4" xfId="26421" xr:uid="{00000000-0005-0000-0000-000035670000}"/>
    <cellStyle name="Normal 327 4 2" xfId="26422" xr:uid="{00000000-0005-0000-0000-000036670000}"/>
    <cellStyle name="Normal 327 4 2 2" xfId="26423" xr:uid="{00000000-0005-0000-0000-000037670000}"/>
    <cellStyle name="Normal 327 4 3" xfId="26424" xr:uid="{00000000-0005-0000-0000-000038670000}"/>
    <cellStyle name="Normal 327 5" xfId="26425" xr:uid="{00000000-0005-0000-0000-000039670000}"/>
    <cellStyle name="Normal 327 5 2" xfId="26426" xr:uid="{00000000-0005-0000-0000-00003A670000}"/>
    <cellStyle name="Normal 327 5 2 2" xfId="26427" xr:uid="{00000000-0005-0000-0000-00003B670000}"/>
    <cellStyle name="Normal 327 5 3" xfId="26428" xr:uid="{00000000-0005-0000-0000-00003C670000}"/>
    <cellStyle name="Normal 327 6" xfId="26429" xr:uid="{00000000-0005-0000-0000-00003D670000}"/>
    <cellStyle name="Normal 327 6 2" xfId="26430" xr:uid="{00000000-0005-0000-0000-00003E670000}"/>
    <cellStyle name="Normal 327 6 2 2" xfId="26431" xr:uid="{00000000-0005-0000-0000-00003F670000}"/>
    <cellStyle name="Normal 327 6 3" xfId="26432" xr:uid="{00000000-0005-0000-0000-000040670000}"/>
    <cellStyle name="Normal 327 7" xfId="26433" xr:uid="{00000000-0005-0000-0000-000041670000}"/>
    <cellStyle name="Normal 328" xfId="26434" xr:uid="{00000000-0005-0000-0000-000042670000}"/>
    <cellStyle name="Normal 328 2" xfId="26435" xr:uid="{00000000-0005-0000-0000-000043670000}"/>
    <cellStyle name="Normal 328 2 2" xfId="26436" xr:uid="{00000000-0005-0000-0000-000044670000}"/>
    <cellStyle name="Normal 328 2 2 2" xfId="26437" xr:uid="{00000000-0005-0000-0000-000045670000}"/>
    <cellStyle name="Normal 328 2 3" xfId="26438" xr:uid="{00000000-0005-0000-0000-000046670000}"/>
    <cellStyle name="Normal 328 2 3 2" xfId="26439" xr:uid="{00000000-0005-0000-0000-000047670000}"/>
    <cellStyle name="Normal 328 2 3 2 2" xfId="26440" xr:uid="{00000000-0005-0000-0000-000048670000}"/>
    <cellStyle name="Normal 328 2 3 3" xfId="26441" xr:uid="{00000000-0005-0000-0000-000049670000}"/>
    <cellStyle name="Normal 328 2 4" xfId="26442" xr:uid="{00000000-0005-0000-0000-00004A670000}"/>
    <cellStyle name="Normal 328 2 4 2" xfId="26443" xr:uid="{00000000-0005-0000-0000-00004B670000}"/>
    <cellStyle name="Normal 328 2 4 2 2" xfId="26444" xr:uid="{00000000-0005-0000-0000-00004C670000}"/>
    <cellStyle name="Normal 328 2 4 3" xfId="26445" xr:uid="{00000000-0005-0000-0000-00004D670000}"/>
    <cellStyle name="Normal 328 2 5" xfId="26446" xr:uid="{00000000-0005-0000-0000-00004E670000}"/>
    <cellStyle name="Normal 328 3" xfId="26447" xr:uid="{00000000-0005-0000-0000-00004F670000}"/>
    <cellStyle name="Normal 328 3 2" xfId="26448" xr:uid="{00000000-0005-0000-0000-000050670000}"/>
    <cellStyle name="Normal 328 3 2 2" xfId="26449" xr:uid="{00000000-0005-0000-0000-000051670000}"/>
    <cellStyle name="Normal 328 3 2 2 2" xfId="26450" xr:uid="{00000000-0005-0000-0000-000052670000}"/>
    <cellStyle name="Normal 328 3 2 3" xfId="26451" xr:uid="{00000000-0005-0000-0000-000053670000}"/>
    <cellStyle name="Normal 328 3 2 3 2" xfId="26452" xr:uid="{00000000-0005-0000-0000-000054670000}"/>
    <cellStyle name="Normal 328 3 2 3 2 2" xfId="26453" xr:uid="{00000000-0005-0000-0000-000055670000}"/>
    <cellStyle name="Normal 328 3 2 3 3" xfId="26454" xr:uid="{00000000-0005-0000-0000-000056670000}"/>
    <cellStyle name="Normal 328 3 2 4" xfId="26455" xr:uid="{00000000-0005-0000-0000-000057670000}"/>
    <cellStyle name="Normal 328 3 3" xfId="26456" xr:uid="{00000000-0005-0000-0000-000058670000}"/>
    <cellStyle name="Normal 328 3 3 2" xfId="26457" xr:uid="{00000000-0005-0000-0000-000059670000}"/>
    <cellStyle name="Normal 328 3 3 2 2" xfId="26458" xr:uid="{00000000-0005-0000-0000-00005A670000}"/>
    <cellStyle name="Normal 328 3 3 3" xfId="26459" xr:uid="{00000000-0005-0000-0000-00005B670000}"/>
    <cellStyle name="Normal 328 3 4" xfId="26460" xr:uid="{00000000-0005-0000-0000-00005C670000}"/>
    <cellStyle name="Normal 328 3 4 2" xfId="26461" xr:uid="{00000000-0005-0000-0000-00005D670000}"/>
    <cellStyle name="Normal 328 3 4 2 2" xfId="26462" xr:uid="{00000000-0005-0000-0000-00005E670000}"/>
    <cellStyle name="Normal 328 3 4 3" xfId="26463" xr:uid="{00000000-0005-0000-0000-00005F670000}"/>
    <cellStyle name="Normal 328 3 5" xfId="26464" xr:uid="{00000000-0005-0000-0000-000060670000}"/>
    <cellStyle name="Normal 328 3 5 2" xfId="26465" xr:uid="{00000000-0005-0000-0000-000061670000}"/>
    <cellStyle name="Normal 328 3 5 2 2" xfId="26466" xr:uid="{00000000-0005-0000-0000-000062670000}"/>
    <cellStyle name="Normal 328 3 5 3" xfId="26467" xr:uid="{00000000-0005-0000-0000-000063670000}"/>
    <cellStyle name="Normal 328 3 6" xfId="26468" xr:uid="{00000000-0005-0000-0000-000064670000}"/>
    <cellStyle name="Normal 328 4" xfId="26469" xr:uid="{00000000-0005-0000-0000-000065670000}"/>
    <cellStyle name="Normal 328 4 2" xfId="26470" xr:uid="{00000000-0005-0000-0000-000066670000}"/>
    <cellStyle name="Normal 328 4 2 2" xfId="26471" xr:uid="{00000000-0005-0000-0000-000067670000}"/>
    <cellStyle name="Normal 328 4 3" xfId="26472" xr:uid="{00000000-0005-0000-0000-000068670000}"/>
    <cellStyle name="Normal 328 5" xfId="26473" xr:uid="{00000000-0005-0000-0000-000069670000}"/>
    <cellStyle name="Normal 328 5 2" xfId="26474" xr:uid="{00000000-0005-0000-0000-00006A670000}"/>
    <cellStyle name="Normal 328 5 2 2" xfId="26475" xr:uid="{00000000-0005-0000-0000-00006B670000}"/>
    <cellStyle name="Normal 328 5 3" xfId="26476" xr:uid="{00000000-0005-0000-0000-00006C670000}"/>
    <cellStyle name="Normal 328 6" xfId="26477" xr:uid="{00000000-0005-0000-0000-00006D670000}"/>
    <cellStyle name="Normal 328 6 2" xfId="26478" xr:uid="{00000000-0005-0000-0000-00006E670000}"/>
    <cellStyle name="Normal 328 6 2 2" xfId="26479" xr:uid="{00000000-0005-0000-0000-00006F670000}"/>
    <cellStyle name="Normal 328 6 3" xfId="26480" xr:uid="{00000000-0005-0000-0000-000070670000}"/>
    <cellStyle name="Normal 328 7" xfId="26481" xr:uid="{00000000-0005-0000-0000-000071670000}"/>
    <cellStyle name="Normal 329" xfId="26482" xr:uid="{00000000-0005-0000-0000-000072670000}"/>
    <cellStyle name="Normal 329 2" xfId="26483" xr:uid="{00000000-0005-0000-0000-000073670000}"/>
    <cellStyle name="Normal 329 2 2" xfId="26484" xr:uid="{00000000-0005-0000-0000-000074670000}"/>
    <cellStyle name="Normal 329 2 2 2" xfId="26485" xr:uid="{00000000-0005-0000-0000-000075670000}"/>
    <cellStyle name="Normal 329 2 3" xfId="26486" xr:uid="{00000000-0005-0000-0000-000076670000}"/>
    <cellStyle name="Normal 329 2 3 2" xfId="26487" xr:uid="{00000000-0005-0000-0000-000077670000}"/>
    <cellStyle name="Normal 329 2 3 2 2" xfId="26488" xr:uid="{00000000-0005-0000-0000-000078670000}"/>
    <cellStyle name="Normal 329 2 3 3" xfId="26489" xr:uid="{00000000-0005-0000-0000-000079670000}"/>
    <cellStyle name="Normal 329 2 4" xfId="26490" xr:uid="{00000000-0005-0000-0000-00007A670000}"/>
    <cellStyle name="Normal 329 2 4 2" xfId="26491" xr:uid="{00000000-0005-0000-0000-00007B670000}"/>
    <cellStyle name="Normal 329 2 4 2 2" xfId="26492" xr:uid="{00000000-0005-0000-0000-00007C670000}"/>
    <cellStyle name="Normal 329 2 4 3" xfId="26493" xr:uid="{00000000-0005-0000-0000-00007D670000}"/>
    <cellStyle name="Normal 329 2 5" xfId="26494" xr:uid="{00000000-0005-0000-0000-00007E670000}"/>
    <cellStyle name="Normal 329 3" xfId="26495" xr:uid="{00000000-0005-0000-0000-00007F670000}"/>
    <cellStyle name="Normal 329 3 2" xfId="26496" xr:uid="{00000000-0005-0000-0000-000080670000}"/>
    <cellStyle name="Normal 329 3 2 2" xfId="26497" xr:uid="{00000000-0005-0000-0000-000081670000}"/>
    <cellStyle name="Normal 329 3 2 2 2" xfId="26498" xr:uid="{00000000-0005-0000-0000-000082670000}"/>
    <cellStyle name="Normal 329 3 2 3" xfId="26499" xr:uid="{00000000-0005-0000-0000-000083670000}"/>
    <cellStyle name="Normal 329 3 2 3 2" xfId="26500" xr:uid="{00000000-0005-0000-0000-000084670000}"/>
    <cellStyle name="Normal 329 3 2 3 2 2" xfId="26501" xr:uid="{00000000-0005-0000-0000-000085670000}"/>
    <cellStyle name="Normal 329 3 2 3 3" xfId="26502" xr:uid="{00000000-0005-0000-0000-000086670000}"/>
    <cellStyle name="Normal 329 3 2 4" xfId="26503" xr:uid="{00000000-0005-0000-0000-000087670000}"/>
    <cellStyle name="Normal 329 3 3" xfId="26504" xr:uid="{00000000-0005-0000-0000-000088670000}"/>
    <cellStyle name="Normal 329 3 3 2" xfId="26505" xr:uid="{00000000-0005-0000-0000-000089670000}"/>
    <cellStyle name="Normal 329 3 3 2 2" xfId="26506" xr:uid="{00000000-0005-0000-0000-00008A670000}"/>
    <cellStyle name="Normal 329 3 3 3" xfId="26507" xr:uid="{00000000-0005-0000-0000-00008B670000}"/>
    <cellStyle name="Normal 329 3 4" xfId="26508" xr:uid="{00000000-0005-0000-0000-00008C670000}"/>
    <cellStyle name="Normal 329 3 4 2" xfId="26509" xr:uid="{00000000-0005-0000-0000-00008D670000}"/>
    <cellStyle name="Normal 329 3 4 2 2" xfId="26510" xr:uid="{00000000-0005-0000-0000-00008E670000}"/>
    <cellStyle name="Normal 329 3 4 3" xfId="26511" xr:uid="{00000000-0005-0000-0000-00008F670000}"/>
    <cellStyle name="Normal 329 3 5" xfId="26512" xr:uid="{00000000-0005-0000-0000-000090670000}"/>
    <cellStyle name="Normal 329 3 5 2" xfId="26513" xr:uid="{00000000-0005-0000-0000-000091670000}"/>
    <cellStyle name="Normal 329 3 5 2 2" xfId="26514" xr:uid="{00000000-0005-0000-0000-000092670000}"/>
    <cellStyle name="Normal 329 3 5 3" xfId="26515" xr:uid="{00000000-0005-0000-0000-000093670000}"/>
    <cellStyle name="Normal 329 3 6" xfId="26516" xr:uid="{00000000-0005-0000-0000-000094670000}"/>
    <cellStyle name="Normal 329 4" xfId="26517" xr:uid="{00000000-0005-0000-0000-000095670000}"/>
    <cellStyle name="Normal 329 4 2" xfId="26518" xr:uid="{00000000-0005-0000-0000-000096670000}"/>
    <cellStyle name="Normal 329 4 2 2" xfId="26519" xr:uid="{00000000-0005-0000-0000-000097670000}"/>
    <cellStyle name="Normal 329 4 3" xfId="26520" xr:uid="{00000000-0005-0000-0000-000098670000}"/>
    <cellStyle name="Normal 329 5" xfId="26521" xr:uid="{00000000-0005-0000-0000-000099670000}"/>
    <cellStyle name="Normal 329 5 2" xfId="26522" xr:uid="{00000000-0005-0000-0000-00009A670000}"/>
    <cellStyle name="Normal 329 5 2 2" xfId="26523" xr:uid="{00000000-0005-0000-0000-00009B670000}"/>
    <cellStyle name="Normal 329 5 3" xfId="26524" xr:uid="{00000000-0005-0000-0000-00009C670000}"/>
    <cellStyle name="Normal 329 6" xfId="26525" xr:uid="{00000000-0005-0000-0000-00009D670000}"/>
    <cellStyle name="Normal 329 6 2" xfId="26526" xr:uid="{00000000-0005-0000-0000-00009E670000}"/>
    <cellStyle name="Normal 329 6 2 2" xfId="26527" xr:uid="{00000000-0005-0000-0000-00009F670000}"/>
    <cellStyle name="Normal 329 6 3" xfId="26528" xr:uid="{00000000-0005-0000-0000-0000A0670000}"/>
    <cellStyle name="Normal 329 7" xfId="26529" xr:uid="{00000000-0005-0000-0000-0000A1670000}"/>
    <cellStyle name="Normal 33" xfId="26530" xr:uid="{00000000-0005-0000-0000-0000A2670000}"/>
    <cellStyle name="Normal 33 2" xfId="26531" xr:uid="{00000000-0005-0000-0000-0000A3670000}"/>
    <cellStyle name="Normal 33 2 2" xfId="26532" xr:uid="{00000000-0005-0000-0000-0000A4670000}"/>
    <cellStyle name="Normal 33 2 2 2" xfId="26533" xr:uid="{00000000-0005-0000-0000-0000A5670000}"/>
    <cellStyle name="Normal 33 2 2 2 2" xfId="26534" xr:uid="{00000000-0005-0000-0000-0000A6670000}"/>
    <cellStyle name="Normal 33 2 2 3" xfId="26535" xr:uid="{00000000-0005-0000-0000-0000A7670000}"/>
    <cellStyle name="Normal 33 2 2 3 2" xfId="26536" xr:uid="{00000000-0005-0000-0000-0000A8670000}"/>
    <cellStyle name="Normal 33 2 2 3 2 2" xfId="26537" xr:uid="{00000000-0005-0000-0000-0000A9670000}"/>
    <cellStyle name="Normal 33 2 2 3 3" xfId="26538" xr:uid="{00000000-0005-0000-0000-0000AA670000}"/>
    <cellStyle name="Normal 33 2 2 4" xfId="26539" xr:uid="{00000000-0005-0000-0000-0000AB670000}"/>
    <cellStyle name="Normal 33 2 2 4 2" xfId="26540" xr:uid="{00000000-0005-0000-0000-0000AC670000}"/>
    <cellStyle name="Normal 33 2 2 4 2 2" xfId="26541" xr:uid="{00000000-0005-0000-0000-0000AD670000}"/>
    <cellStyle name="Normal 33 2 2 4 3" xfId="26542" xr:uid="{00000000-0005-0000-0000-0000AE670000}"/>
    <cellStyle name="Normal 33 2 2 5" xfId="26543" xr:uid="{00000000-0005-0000-0000-0000AF670000}"/>
    <cellStyle name="Normal 33 2 3" xfId="26544" xr:uid="{00000000-0005-0000-0000-0000B0670000}"/>
    <cellStyle name="Normal 33 2 3 2" xfId="26545" xr:uid="{00000000-0005-0000-0000-0000B1670000}"/>
    <cellStyle name="Normal 33 2 3 2 2" xfId="26546" xr:uid="{00000000-0005-0000-0000-0000B2670000}"/>
    <cellStyle name="Normal 33 2 3 2 2 2" xfId="26547" xr:uid="{00000000-0005-0000-0000-0000B3670000}"/>
    <cellStyle name="Normal 33 2 3 2 3" xfId="26548" xr:uid="{00000000-0005-0000-0000-0000B4670000}"/>
    <cellStyle name="Normal 33 2 3 2 3 2" xfId="26549" xr:uid="{00000000-0005-0000-0000-0000B5670000}"/>
    <cellStyle name="Normal 33 2 3 2 3 2 2" xfId="26550" xr:uid="{00000000-0005-0000-0000-0000B6670000}"/>
    <cellStyle name="Normal 33 2 3 2 3 3" xfId="26551" xr:uid="{00000000-0005-0000-0000-0000B7670000}"/>
    <cellStyle name="Normal 33 2 3 2 4" xfId="26552" xr:uid="{00000000-0005-0000-0000-0000B8670000}"/>
    <cellStyle name="Normal 33 2 3 3" xfId="26553" xr:uid="{00000000-0005-0000-0000-0000B9670000}"/>
    <cellStyle name="Normal 33 2 3 3 2" xfId="26554" xr:uid="{00000000-0005-0000-0000-0000BA670000}"/>
    <cellStyle name="Normal 33 2 3 3 2 2" xfId="26555" xr:uid="{00000000-0005-0000-0000-0000BB670000}"/>
    <cellStyle name="Normal 33 2 3 3 3" xfId="26556" xr:uid="{00000000-0005-0000-0000-0000BC670000}"/>
    <cellStyle name="Normal 33 2 3 4" xfId="26557" xr:uid="{00000000-0005-0000-0000-0000BD670000}"/>
    <cellStyle name="Normal 33 2 3 4 2" xfId="26558" xr:uid="{00000000-0005-0000-0000-0000BE670000}"/>
    <cellStyle name="Normal 33 2 3 4 2 2" xfId="26559" xr:uid="{00000000-0005-0000-0000-0000BF670000}"/>
    <cellStyle name="Normal 33 2 3 4 3" xfId="26560" xr:uid="{00000000-0005-0000-0000-0000C0670000}"/>
    <cellStyle name="Normal 33 2 3 5" xfId="26561" xr:uid="{00000000-0005-0000-0000-0000C1670000}"/>
    <cellStyle name="Normal 33 2 3 5 2" xfId="26562" xr:uid="{00000000-0005-0000-0000-0000C2670000}"/>
    <cellStyle name="Normal 33 2 3 5 2 2" xfId="26563" xr:uid="{00000000-0005-0000-0000-0000C3670000}"/>
    <cellStyle name="Normal 33 2 3 5 3" xfId="26564" xr:uid="{00000000-0005-0000-0000-0000C4670000}"/>
    <cellStyle name="Normal 33 2 3 6" xfId="26565" xr:uid="{00000000-0005-0000-0000-0000C5670000}"/>
    <cellStyle name="Normal 33 2 4" xfId="26566" xr:uid="{00000000-0005-0000-0000-0000C6670000}"/>
    <cellStyle name="Normal 33 3" xfId="26567" xr:uid="{00000000-0005-0000-0000-0000C7670000}"/>
    <cellStyle name="Normal 33 3 2" xfId="26568" xr:uid="{00000000-0005-0000-0000-0000C8670000}"/>
    <cellStyle name="Normal 33 3 2 2" xfId="26569" xr:uid="{00000000-0005-0000-0000-0000C9670000}"/>
    <cellStyle name="Normal 33 3 2 2 2" xfId="26570" xr:uid="{00000000-0005-0000-0000-0000CA670000}"/>
    <cellStyle name="Normal 33 3 2 3" xfId="26571" xr:uid="{00000000-0005-0000-0000-0000CB670000}"/>
    <cellStyle name="Normal 33 3 2 3 2" xfId="26572" xr:uid="{00000000-0005-0000-0000-0000CC670000}"/>
    <cellStyle name="Normal 33 3 2 3 2 2" xfId="26573" xr:uid="{00000000-0005-0000-0000-0000CD670000}"/>
    <cellStyle name="Normal 33 3 2 3 3" xfId="26574" xr:uid="{00000000-0005-0000-0000-0000CE670000}"/>
    <cellStyle name="Normal 33 3 2 4" xfId="26575" xr:uid="{00000000-0005-0000-0000-0000CF670000}"/>
    <cellStyle name="Normal 33 3 2 4 2" xfId="26576" xr:uid="{00000000-0005-0000-0000-0000D0670000}"/>
    <cellStyle name="Normal 33 3 2 4 2 2" xfId="26577" xr:uid="{00000000-0005-0000-0000-0000D1670000}"/>
    <cellStyle name="Normal 33 3 2 4 3" xfId="26578" xr:uid="{00000000-0005-0000-0000-0000D2670000}"/>
    <cellStyle name="Normal 33 3 2 5" xfId="26579" xr:uid="{00000000-0005-0000-0000-0000D3670000}"/>
    <cellStyle name="Normal 33 3 3" xfId="26580" xr:uid="{00000000-0005-0000-0000-0000D4670000}"/>
    <cellStyle name="Normal 33 3 3 2" xfId="26581" xr:uid="{00000000-0005-0000-0000-0000D5670000}"/>
    <cellStyle name="Normal 33 3 3 2 2" xfId="26582" xr:uid="{00000000-0005-0000-0000-0000D6670000}"/>
    <cellStyle name="Normal 33 3 3 3" xfId="26583" xr:uid="{00000000-0005-0000-0000-0000D7670000}"/>
    <cellStyle name="Normal 33 3 4" xfId="26584" xr:uid="{00000000-0005-0000-0000-0000D8670000}"/>
    <cellStyle name="Normal 33 3 4 2" xfId="26585" xr:uid="{00000000-0005-0000-0000-0000D9670000}"/>
    <cellStyle name="Normal 33 3 4 2 2" xfId="26586" xr:uid="{00000000-0005-0000-0000-0000DA670000}"/>
    <cellStyle name="Normal 33 3 4 3" xfId="26587" xr:uid="{00000000-0005-0000-0000-0000DB670000}"/>
    <cellStyle name="Normal 33 3 5" xfId="26588" xr:uid="{00000000-0005-0000-0000-0000DC670000}"/>
    <cellStyle name="Normal 33 3 5 2" xfId="26589" xr:uid="{00000000-0005-0000-0000-0000DD670000}"/>
    <cellStyle name="Normal 33 3 5 2 2" xfId="26590" xr:uid="{00000000-0005-0000-0000-0000DE670000}"/>
    <cellStyle name="Normal 33 3 5 3" xfId="26591" xr:uid="{00000000-0005-0000-0000-0000DF670000}"/>
    <cellStyle name="Normal 33 3 6" xfId="26592" xr:uid="{00000000-0005-0000-0000-0000E0670000}"/>
    <cellStyle name="Normal 33 4" xfId="26593" xr:uid="{00000000-0005-0000-0000-0000E1670000}"/>
    <cellStyle name="Normal 33 4 2" xfId="26594" xr:uid="{00000000-0005-0000-0000-0000E2670000}"/>
    <cellStyle name="Normal 33 4 2 2" xfId="26595" xr:uid="{00000000-0005-0000-0000-0000E3670000}"/>
    <cellStyle name="Normal 33 4 3" xfId="26596" xr:uid="{00000000-0005-0000-0000-0000E4670000}"/>
    <cellStyle name="Normal 33 4 3 2" xfId="26597" xr:uid="{00000000-0005-0000-0000-0000E5670000}"/>
    <cellStyle name="Normal 33 4 3 2 2" xfId="26598" xr:uid="{00000000-0005-0000-0000-0000E6670000}"/>
    <cellStyle name="Normal 33 4 3 3" xfId="26599" xr:uid="{00000000-0005-0000-0000-0000E7670000}"/>
    <cellStyle name="Normal 33 4 4" xfId="26600" xr:uid="{00000000-0005-0000-0000-0000E8670000}"/>
    <cellStyle name="Normal 33 4 4 2" xfId="26601" xr:uid="{00000000-0005-0000-0000-0000E9670000}"/>
    <cellStyle name="Normal 33 4 4 2 2" xfId="26602" xr:uid="{00000000-0005-0000-0000-0000EA670000}"/>
    <cellStyle name="Normal 33 4 4 3" xfId="26603" xr:uid="{00000000-0005-0000-0000-0000EB670000}"/>
    <cellStyle name="Normal 33 4 5" xfId="26604" xr:uid="{00000000-0005-0000-0000-0000EC670000}"/>
    <cellStyle name="Normal 33 5" xfId="26605" xr:uid="{00000000-0005-0000-0000-0000ED670000}"/>
    <cellStyle name="Normal 33 5 2" xfId="26606" xr:uid="{00000000-0005-0000-0000-0000EE670000}"/>
    <cellStyle name="Normal 33 5 2 2" xfId="26607" xr:uid="{00000000-0005-0000-0000-0000EF670000}"/>
    <cellStyle name="Normal 33 5 3" xfId="26608" xr:uid="{00000000-0005-0000-0000-0000F0670000}"/>
    <cellStyle name="Normal 33 6" xfId="26609" xr:uid="{00000000-0005-0000-0000-0000F1670000}"/>
    <cellStyle name="Normal 330" xfId="26610" xr:uid="{00000000-0005-0000-0000-0000F2670000}"/>
    <cellStyle name="Normal 330 2" xfId="26611" xr:uid="{00000000-0005-0000-0000-0000F3670000}"/>
    <cellStyle name="Normal 330 2 2" xfId="26612" xr:uid="{00000000-0005-0000-0000-0000F4670000}"/>
    <cellStyle name="Normal 330 2 2 2" xfId="26613" xr:uid="{00000000-0005-0000-0000-0000F5670000}"/>
    <cellStyle name="Normal 330 2 3" xfId="26614" xr:uid="{00000000-0005-0000-0000-0000F6670000}"/>
    <cellStyle name="Normal 330 2 3 2" xfId="26615" xr:uid="{00000000-0005-0000-0000-0000F7670000}"/>
    <cellStyle name="Normal 330 2 3 2 2" xfId="26616" xr:uid="{00000000-0005-0000-0000-0000F8670000}"/>
    <cellStyle name="Normal 330 2 3 3" xfId="26617" xr:uid="{00000000-0005-0000-0000-0000F9670000}"/>
    <cellStyle name="Normal 330 2 4" xfId="26618" xr:uid="{00000000-0005-0000-0000-0000FA670000}"/>
    <cellStyle name="Normal 330 2 4 2" xfId="26619" xr:uid="{00000000-0005-0000-0000-0000FB670000}"/>
    <cellStyle name="Normal 330 2 4 2 2" xfId="26620" xr:uid="{00000000-0005-0000-0000-0000FC670000}"/>
    <cellStyle name="Normal 330 2 4 3" xfId="26621" xr:uid="{00000000-0005-0000-0000-0000FD670000}"/>
    <cellStyle name="Normal 330 2 5" xfId="26622" xr:uid="{00000000-0005-0000-0000-0000FE670000}"/>
    <cellStyle name="Normal 330 3" xfId="26623" xr:uid="{00000000-0005-0000-0000-0000FF670000}"/>
    <cellStyle name="Normal 330 3 2" xfId="26624" xr:uid="{00000000-0005-0000-0000-000000680000}"/>
    <cellStyle name="Normal 330 3 2 2" xfId="26625" xr:uid="{00000000-0005-0000-0000-000001680000}"/>
    <cellStyle name="Normal 330 3 2 2 2" xfId="26626" xr:uid="{00000000-0005-0000-0000-000002680000}"/>
    <cellStyle name="Normal 330 3 2 3" xfId="26627" xr:uid="{00000000-0005-0000-0000-000003680000}"/>
    <cellStyle name="Normal 330 3 2 3 2" xfId="26628" xr:uid="{00000000-0005-0000-0000-000004680000}"/>
    <cellStyle name="Normal 330 3 2 3 2 2" xfId="26629" xr:uid="{00000000-0005-0000-0000-000005680000}"/>
    <cellStyle name="Normal 330 3 2 3 3" xfId="26630" xr:uid="{00000000-0005-0000-0000-000006680000}"/>
    <cellStyle name="Normal 330 3 2 4" xfId="26631" xr:uid="{00000000-0005-0000-0000-000007680000}"/>
    <cellStyle name="Normal 330 3 3" xfId="26632" xr:uid="{00000000-0005-0000-0000-000008680000}"/>
    <cellStyle name="Normal 330 3 3 2" xfId="26633" xr:uid="{00000000-0005-0000-0000-000009680000}"/>
    <cellStyle name="Normal 330 3 3 2 2" xfId="26634" xr:uid="{00000000-0005-0000-0000-00000A680000}"/>
    <cellStyle name="Normal 330 3 3 3" xfId="26635" xr:uid="{00000000-0005-0000-0000-00000B680000}"/>
    <cellStyle name="Normal 330 3 4" xfId="26636" xr:uid="{00000000-0005-0000-0000-00000C680000}"/>
    <cellStyle name="Normal 330 3 4 2" xfId="26637" xr:uid="{00000000-0005-0000-0000-00000D680000}"/>
    <cellStyle name="Normal 330 3 4 2 2" xfId="26638" xr:uid="{00000000-0005-0000-0000-00000E680000}"/>
    <cellStyle name="Normal 330 3 4 3" xfId="26639" xr:uid="{00000000-0005-0000-0000-00000F680000}"/>
    <cellStyle name="Normal 330 3 5" xfId="26640" xr:uid="{00000000-0005-0000-0000-000010680000}"/>
    <cellStyle name="Normal 330 3 5 2" xfId="26641" xr:uid="{00000000-0005-0000-0000-000011680000}"/>
    <cellStyle name="Normal 330 3 5 2 2" xfId="26642" xr:uid="{00000000-0005-0000-0000-000012680000}"/>
    <cellStyle name="Normal 330 3 5 3" xfId="26643" xr:uid="{00000000-0005-0000-0000-000013680000}"/>
    <cellStyle name="Normal 330 3 6" xfId="26644" xr:uid="{00000000-0005-0000-0000-000014680000}"/>
    <cellStyle name="Normal 330 4" xfId="26645" xr:uid="{00000000-0005-0000-0000-000015680000}"/>
    <cellStyle name="Normal 330 4 2" xfId="26646" xr:uid="{00000000-0005-0000-0000-000016680000}"/>
    <cellStyle name="Normal 330 4 2 2" xfId="26647" xr:uid="{00000000-0005-0000-0000-000017680000}"/>
    <cellStyle name="Normal 330 4 3" xfId="26648" xr:uid="{00000000-0005-0000-0000-000018680000}"/>
    <cellStyle name="Normal 330 5" xfId="26649" xr:uid="{00000000-0005-0000-0000-000019680000}"/>
    <cellStyle name="Normal 330 5 2" xfId="26650" xr:uid="{00000000-0005-0000-0000-00001A680000}"/>
    <cellStyle name="Normal 330 5 2 2" xfId="26651" xr:uid="{00000000-0005-0000-0000-00001B680000}"/>
    <cellStyle name="Normal 330 5 3" xfId="26652" xr:uid="{00000000-0005-0000-0000-00001C680000}"/>
    <cellStyle name="Normal 330 6" xfId="26653" xr:uid="{00000000-0005-0000-0000-00001D680000}"/>
    <cellStyle name="Normal 330 6 2" xfId="26654" xr:uid="{00000000-0005-0000-0000-00001E680000}"/>
    <cellStyle name="Normal 330 6 2 2" xfId="26655" xr:uid="{00000000-0005-0000-0000-00001F680000}"/>
    <cellStyle name="Normal 330 6 3" xfId="26656" xr:uid="{00000000-0005-0000-0000-000020680000}"/>
    <cellStyle name="Normal 330 7" xfId="26657" xr:uid="{00000000-0005-0000-0000-000021680000}"/>
    <cellStyle name="Normal 331" xfId="26658" xr:uid="{00000000-0005-0000-0000-000022680000}"/>
    <cellStyle name="Normal 331 2" xfId="26659" xr:uid="{00000000-0005-0000-0000-000023680000}"/>
    <cellStyle name="Normal 331 2 2" xfId="26660" xr:uid="{00000000-0005-0000-0000-000024680000}"/>
    <cellStyle name="Normal 331 2 2 2" xfId="26661" xr:uid="{00000000-0005-0000-0000-000025680000}"/>
    <cellStyle name="Normal 331 2 3" xfId="26662" xr:uid="{00000000-0005-0000-0000-000026680000}"/>
    <cellStyle name="Normal 331 2 3 2" xfId="26663" xr:uid="{00000000-0005-0000-0000-000027680000}"/>
    <cellStyle name="Normal 331 2 3 2 2" xfId="26664" xr:uid="{00000000-0005-0000-0000-000028680000}"/>
    <cellStyle name="Normal 331 2 3 3" xfId="26665" xr:uid="{00000000-0005-0000-0000-000029680000}"/>
    <cellStyle name="Normal 331 2 4" xfId="26666" xr:uid="{00000000-0005-0000-0000-00002A680000}"/>
    <cellStyle name="Normal 331 2 4 2" xfId="26667" xr:uid="{00000000-0005-0000-0000-00002B680000}"/>
    <cellStyle name="Normal 331 2 4 2 2" xfId="26668" xr:uid="{00000000-0005-0000-0000-00002C680000}"/>
    <cellStyle name="Normal 331 2 4 3" xfId="26669" xr:uid="{00000000-0005-0000-0000-00002D680000}"/>
    <cellStyle name="Normal 331 2 5" xfId="26670" xr:uid="{00000000-0005-0000-0000-00002E680000}"/>
    <cellStyle name="Normal 331 3" xfId="26671" xr:uid="{00000000-0005-0000-0000-00002F680000}"/>
    <cellStyle name="Normal 331 3 2" xfId="26672" xr:uid="{00000000-0005-0000-0000-000030680000}"/>
    <cellStyle name="Normal 331 3 2 2" xfId="26673" xr:uid="{00000000-0005-0000-0000-000031680000}"/>
    <cellStyle name="Normal 331 3 2 2 2" xfId="26674" xr:uid="{00000000-0005-0000-0000-000032680000}"/>
    <cellStyle name="Normal 331 3 2 3" xfId="26675" xr:uid="{00000000-0005-0000-0000-000033680000}"/>
    <cellStyle name="Normal 331 3 2 3 2" xfId="26676" xr:uid="{00000000-0005-0000-0000-000034680000}"/>
    <cellStyle name="Normal 331 3 2 3 2 2" xfId="26677" xr:uid="{00000000-0005-0000-0000-000035680000}"/>
    <cellStyle name="Normal 331 3 2 3 3" xfId="26678" xr:uid="{00000000-0005-0000-0000-000036680000}"/>
    <cellStyle name="Normal 331 3 2 4" xfId="26679" xr:uid="{00000000-0005-0000-0000-000037680000}"/>
    <cellStyle name="Normal 331 3 3" xfId="26680" xr:uid="{00000000-0005-0000-0000-000038680000}"/>
    <cellStyle name="Normal 331 3 3 2" xfId="26681" xr:uid="{00000000-0005-0000-0000-000039680000}"/>
    <cellStyle name="Normal 331 3 3 2 2" xfId="26682" xr:uid="{00000000-0005-0000-0000-00003A680000}"/>
    <cellStyle name="Normal 331 3 3 3" xfId="26683" xr:uid="{00000000-0005-0000-0000-00003B680000}"/>
    <cellStyle name="Normal 331 3 4" xfId="26684" xr:uid="{00000000-0005-0000-0000-00003C680000}"/>
    <cellStyle name="Normal 331 3 4 2" xfId="26685" xr:uid="{00000000-0005-0000-0000-00003D680000}"/>
    <cellStyle name="Normal 331 3 4 2 2" xfId="26686" xr:uid="{00000000-0005-0000-0000-00003E680000}"/>
    <cellStyle name="Normal 331 3 4 3" xfId="26687" xr:uid="{00000000-0005-0000-0000-00003F680000}"/>
    <cellStyle name="Normal 331 3 5" xfId="26688" xr:uid="{00000000-0005-0000-0000-000040680000}"/>
    <cellStyle name="Normal 331 3 5 2" xfId="26689" xr:uid="{00000000-0005-0000-0000-000041680000}"/>
    <cellStyle name="Normal 331 3 5 2 2" xfId="26690" xr:uid="{00000000-0005-0000-0000-000042680000}"/>
    <cellStyle name="Normal 331 3 5 3" xfId="26691" xr:uid="{00000000-0005-0000-0000-000043680000}"/>
    <cellStyle name="Normal 331 3 6" xfId="26692" xr:uid="{00000000-0005-0000-0000-000044680000}"/>
    <cellStyle name="Normal 331 4" xfId="26693" xr:uid="{00000000-0005-0000-0000-000045680000}"/>
    <cellStyle name="Normal 331 4 2" xfId="26694" xr:uid="{00000000-0005-0000-0000-000046680000}"/>
    <cellStyle name="Normal 331 4 2 2" xfId="26695" xr:uid="{00000000-0005-0000-0000-000047680000}"/>
    <cellStyle name="Normal 331 4 3" xfId="26696" xr:uid="{00000000-0005-0000-0000-000048680000}"/>
    <cellStyle name="Normal 331 5" xfId="26697" xr:uid="{00000000-0005-0000-0000-000049680000}"/>
    <cellStyle name="Normal 331 5 2" xfId="26698" xr:uid="{00000000-0005-0000-0000-00004A680000}"/>
    <cellStyle name="Normal 331 5 2 2" xfId="26699" xr:uid="{00000000-0005-0000-0000-00004B680000}"/>
    <cellStyle name="Normal 331 5 3" xfId="26700" xr:uid="{00000000-0005-0000-0000-00004C680000}"/>
    <cellStyle name="Normal 331 6" xfId="26701" xr:uid="{00000000-0005-0000-0000-00004D680000}"/>
    <cellStyle name="Normal 331 6 2" xfId="26702" xr:uid="{00000000-0005-0000-0000-00004E680000}"/>
    <cellStyle name="Normal 331 6 2 2" xfId="26703" xr:uid="{00000000-0005-0000-0000-00004F680000}"/>
    <cellStyle name="Normal 331 6 3" xfId="26704" xr:uid="{00000000-0005-0000-0000-000050680000}"/>
    <cellStyle name="Normal 331 7" xfId="26705" xr:uid="{00000000-0005-0000-0000-000051680000}"/>
    <cellStyle name="Normal 332" xfId="26706" xr:uid="{00000000-0005-0000-0000-000052680000}"/>
    <cellStyle name="Normal 332 2" xfId="26707" xr:uid="{00000000-0005-0000-0000-000053680000}"/>
    <cellStyle name="Normal 332 2 2" xfId="26708" xr:uid="{00000000-0005-0000-0000-000054680000}"/>
    <cellStyle name="Normal 332 2 2 2" xfId="26709" xr:uid="{00000000-0005-0000-0000-000055680000}"/>
    <cellStyle name="Normal 332 2 3" xfId="26710" xr:uid="{00000000-0005-0000-0000-000056680000}"/>
    <cellStyle name="Normal 332 2 3 2" xfId="26711" xr:uid="{00000000-0005-0000-0000-000057680000}"/>
    <cellStyle name="Normal 332 2 3 2 2" xfId="26712" xr:uid="{00000000-0005-0000-0000-000058680000}"/>
    <cellStyle name="Normal 332 2 3 3" xfId="26713" xr:uid="{00000000-0005-0000-0000-000059680000}"/>
    <cellStyle name="Normal 332 2 4" xfId="26714" xr:uid="{00000000-0005-0000-0000-00005A680000}"/>
    <cellStyle name="Normal 332 2 4 2" xfId="26715" xr:uid="{00000000-0005-0000-0000-00005B680000}"/>
    <cellStyle name="Normal 332 2 4 2 2" xfId="26716" xr:uid="{00000000-0005-0000-0000-00005C680000}"/>
    <cellStyle name="Normal 332 2 4 3" xfId="26717" xr:uid="{00000000-0005-0000-0000-00005D680000}"/>
    <cellStyle name="Normal 332 2 5" xfId="26718" xr:uid="{00000000-0005-0000-0000-00005E680000}"/>
    <cellStyle name="Normal 332 3" xfId="26719" xr:uid="{00000000-0005-0000-0000-00005F680000}"/>
    <cellStyle name="Normal 332 3 2" xfId="26720" xr:uid="{00000000-0005-0000-0000-000060680000}"/>
    <cellStyle name="Normal 332 3 2 2" xfId="26721" xr:uid="{00000000-0005-0000-0000-000061680000}"/>
    <cellStyle name="Normal 332 3 2 2 2" xfId="26722" xr:uid="{00000000-0005-0000-0000-000062680000}"/>
    <cellStyle name="Normal 332 3 2 3" xfId="26723" xr:uid="{00000000-0005-0000-0000-000063680000}"/>
    <cellStyle name="Normal 332 3 2 3 2" xfId="26724" xr:uid="{00000000-0005-0000-0000-000064680000}"/>
    <cellStyle name="Normal 332 3 2 3 2 2" xfId="26725" xr:uid="{00000000-0005-0000-0000-000065680000}"/>
    <cellStyle name="Normal 332 3 2 3 3" xfId="26726" xr:uid="{00000000-0005-0000-0000-000066680000}"/>
    <cellStyle name="Normal 332 3 2 4" xfId="26727" xr:uid="{00000000-0005-0000-0000-000067680000}"/>
    <cellStyle name="Normal 332 3 3" xfId="26728" xr:uid="{00000000-0005-0000-0000-000068680000}"/>
    <cellStyle name="Normal 332 3 3 2" xfId="26729" xr:uid="{00000000-0005-0000-0000-000069680000}"/>
    <cellStyle name="Normal 332 3 3 2 2" xfId="26730" xr:uid="{00000000-0005-0000-0000-00006A680000}"/>
    <cellStyle name="Normal 332 3 3 3" xfId="26731" xr:uid="{00000000-0005-0000-0000-00006B680000}"/>
    <cellStyle name="Normal 332 3 4" xfId="26732" xr:uid="{00000000-0005-0000-0000-00006C680000}"/>
    <cellStyle name="Normal 332 3 4 2" xfId="26733" xr:uid="{00000000-0005-0000-0000-00006D680000}"/>
    <cellStyle name="Normal 332 3 4 2 2" xfId="26734" xr:uid="{00000000-0005-0000-0000-00006E680000}"/>
    <cellStyle name="Normal 332 3 4 3" xfId="26735" xr:uid="{00000000-0005-0000-0000-00006F680000}"/>
    <cellStyle name="Normal 332 3 5" xfId="26736" xr:uid="{00000000-0005-0000-0000-000070680000}"/>
    <cellStyle name="Normal 332 3 5 2" xfId="26737" xr:uid="{00000000-0005-0000-0000-000071680000}"/>
    <cellStyle name="Normal 332 3 5 2 2" xfId="26738" xr:uid="{00000000-0005-0000-0000-000072680000}"/>
    <cellStyle name="Normal 332 3 5 3" xfId="26739" xr:uid="{00000000-0005-0000-0000-000073680000}"/>
    <cellStyle name="Normal 332 3 6" xfId="26740" xr:uid="{00000000-0005-0000-0000-000074680000}"/>
    <cellStyle name="Normal 332 4" xfId="26741" xr:uid="{00000000-0005-0000-0000-000075680000}"/>
    <cellStyle name="Normal 332 4 2" xfId="26742" xr:uid="{00000000-0005-0000-0000-000076680000}"/>
    <cellStyle name="Normal 332 4 2 2" xfId="26743" xr:uid="{00000000-0005-0000-0000-000077680000}"/>
    <cellStyle name="Normal 332 4 3" xfId="26744" xr:uid="{00000000-0005-0000-0000-000078680000}"/>
    <cellStyle name="Normal 332 5" xfId="26745" xr:uid="{00000000-0005-0000-0000-000079680000}"/>
    <cellStyle name="Normal 332 5 2" xfId="26746" xr:uid="{00000000-0005-0000-0000-00007A680000}"/>
    <cellStyle name="Normal 332 5 2 2" xfId="26747" xr:uid="{00000000-0005-0000-0000-00007B680000}"/>
    <cellStyle name="Normal 332 5 3" xfId="26748" xr:uid="{00000000-0005-0000-0000-00007C680000}"/>
    <cellStyle name="Normal 332 6" xfId="26749" xr:uid="{00000000-0005-0000-0000-00007D680000}"/>
    <cellStyle name="Normal 332 6 2" xfId="26750" xr:uid="{00000000-0005-0000-0000-00007E680000}"/>
    <cellStyle name="Normal 332 6 2 2" xfId="26751" xr:uid="{00000000-0005-0000-0000-00007F680000}"/>
    <cellStyle name="Normal 332 6 3" xfId="26752" xr:uid="{00000000-0005-0000-0000-000080680000}"/>
    <cellStyle name="Normal 332 7" xfId="26753" xr:uid="{00000000-0005-0000-0000-000081680000}"/>
    <cellStyle name="Normal 333" xfId="26754" xr:uid="{00000000-0005-0000-0000-000082680000}"/>
    <cellStyle name="Normal 333 2" xfId="26755" xr:uid="{00000000-0005-0000-0000-000083680000}"/>
    <cellStyle name="Normal 333 2 2" xfId="26756" xr:uid="{00000000-0005-0000-0000-000084680000}"/>
    <cellStyle name="Normal 333 2 2 2" xfId="26757" xr:uid="{00000000-0005-0000-0000-000085680000}"/>
    <cellStyle name="Normal 333 2 3" xfId="26758" xr:uid="{00000000-0005-0000-0000-000086680000}"/>
    <cellStyle name="Normal 333 2 3 2" xfId="26759" xr:uid="{00000000-0005-0000-0000-000087680000}"/>
    <cellStyle name="Normal 333 2 3 2 2" xfId="26760" xr:uid="{00000000-0005-0000-0000-000088680000}"/>
    <cellStyle name="Normal 333 2 3 3" xfId="26761" xr:uid="{00000000-0005-0000-0000-000089680000}"/>
    <cellStyle name="Normal 333 2 4" xfId="26762" xr:uid="{00000000-0005-0000-0000-00008A680000}"/>
    <cellStyle name="Normal 333 2 4 2" xfId="26763" xr:uid="{00000000-0005-0000-0000-00008B680000}"/>
    <cellStyle name="Normal 333 2 4 2 2" xfId="26764" xr:uid="{00000000-0005-0000-0000-00008C680000}"/>
    <cellStyle name="Normal 333 2 4 3" xfId="26765" xr:uid="{00000000-0005-0000-0000-00008D680000}"/>
    <cellStyle name="Normal 333 2 5" xfId="26766" xr:uid="{00000000-0005-0000-0000-00008E680000}"/>
    <cellStyle name="Normal 333 3" xfId="26767" xr:uid="{00000000-0005-0000-0000-00008F680000}"/>
    <cellStyle name="Normal 333 3 2" xfId="26768" xr:uid="{00000000-0005-0000-0000-000090680000}"/>
    <cellStyle name="Normal 333 3 2 2" xfId="26769" xr:uid="{00000000-0005-0000-0000-000091680000}"/>
    <cellStyle name="Normal 333 3 2 2 2" xfId="26770" xr:uid="{00000000-0005-0000-0000-000092680000}"/>
    <cellStyle name="Normal 333 3 2 3" xfId="26771" xr:uid="{00000000-0005-0000-0000-000093680000}"/>
    <cellStyle name="Normal 333 3 2 3 2" xfId="26772" xr:uid="{00000000-0005-0000-0000-000094680000}"/>
    <cellStyle name="Normal 333 3 2 3 2 2" xfId="26773" xr:uid="{00000000-0005-0000-0000-000095680000}"/>
    <cellStyle name="Normal 333 3 2 3 3" xfId="26774" xr:uid="{00000000-0005-0000-0000-000096680000}"/>
    <cellStyle name="Normal 333 3 2 4" xfId="26775" xr:uid="{00000000-0005-0000-0000-000097680000}"/>
    <cellStyle name="Normal 333 3 3" xfId="26776" xr:uid="{00000000-0005-0000-0000-000098680000}"/>
    <cellStyle name="Normal 333 3 3 2" xfId="26777" xr:uid="{00000000-0005-0000-0000-000099680000}"/>
    <cellStyle name="Normal 333 3 3 2 2" xfId="26778" xr:uid="{00000000-0005-0000-0000-00009A680000}"/>
    <cellStyle name="Normal 333 3 3 3" xfId="26779" xr:uid="{00000000-0005-0000-0000-00009B680000}"/>
    <cellStyle name="Normal 333 3 4" xfId="26780" xr:uid="{00000000-0005-0000-0000-00009C680000}"/>
    <cellStyle name="Normal 333 3 4 2" xfId="26781" xr:uid="{00000000-0005-0000-0000-00009D680000}"/>
    <cellStyle name="Normal 333 3 4 2 2" xfId="26782" xr:uid="{00000000-0005-0000-0000-00009E680000}"/>
    <cellStyle name="Normal 333 3 4 3" xfId="26783" xr:uid="{00000000-0005-0000-0000-00009F680000}"/>
    <cellStyle name="Normal 333 3 5" xfId="26784" xr:uid="{00000000-0005-0000-0000-0000A0680000}"/>
    <cellStyle name="Normal 333 3 5 2" xfId="26785" xr:uid="{00000000-0005-0000-0000-0000A1680000}"/>
    <cellStyle name="Normal 333 3 5 2 2" xfId="26786" xr:uid="{00000000-0005-0000-0000-0000A2680000}"/>
    <cellStyle name="Normal 333 3 5 3" xfId="26787" xr:uid="{00000000-0005-0000-0000-0000A3680000}"/>
    <cellStyle name="Normal 333 3 6" xfId="26788" xr:uid="{00000000-0005-0000-0000-0000A4680000}"/>
    <cellStyle name="Normal 333 4" xfId="26789" xr:uid="{00000000-0005-0000-0000-0000A5680000}"/>
    <cellStyle name="Normal 333 4 2" xfId="26790" xr:uid="{00000000-0005-0000-0000-0000A6680000}"/>
    <cellStyle name="Normal 333 4 2 2" xfId="26791" xr:uid="{00000000-0005-0000-0000-0000A7680000}"/>
    <cellStyle name="Normal 333 4 3" xfId="26792" xr:uid="{00000000-0005-0000-0000-0000A8680000}"/>
    <cellStyle name="Normal 333 5" xfId="26793" xr:uid="{00000000-0005-0000-0000-0000A9680000}"/>
    <cellStyle name="Normal 333 5 2" xfId="26794" xr:uid="{00000000-0005-0000-0000-0000AA680000}"/>
    <cellStyle name="Normal 333 5 2 2" xfId="26795" xr:uid="{00000000-0005-0000-0000-0000AB680000}"/>
    <cellStyle name="Normal 333 5 3" xfId="26796" xr:uid="{00000000-0005-0000-0000-0000AC680000}"/>
    <cellStyle name="Normal 333 6" xfId="26797" xr:uid="{00000000-0005-0000-0000-0000AD680000}"/>
    <cellStyle name="Normal 333 6 2" xfId="26798" xr:uid="{00000000-0005-0000-0000-0000AE680000}"/>
    <cellStyle name="Normal 333 6 2 2" xfId="26799" xr:uid="{00000000-0005-0000-0000-0000AF680000}"/>
    <cellStyle name="Normal 333 6 3" xfId="26800" xr:uid="{00000000-0005-0000-0000-0000B0680000}"/>
    <cellStyle name="Normal 333 7" xfId="26801" xr:uid="{00000000-0005-0000-0000-0000B1680000}"/>
    <cellStyle name="Normal 334" xfId="26802" xr:uid="{00000000-0005-0000-0000-0000B2680000}"/>
    <cellStyle name="Normal 334 2" xfId="26803" xr:uid="{00000000-0005-0000-0000-0000B3680000}"/>
    <cellStyle name="Normal 334 2 2" xfId="26804" xr:uid="{00000000-0005-0000-0000-0000B4680000}"/>
    <cellStyle name="Normal 334 2 2 2" xfId="26805" xr:uid="{00000000-0005-0000-0000-0000B5680000}"/>
    <cellStyle name="Normal 334 2 3" xfId="26806" xr:uid="{00000000-0005-0000-0000-0000B6680000}"/>
    <cellStyle name="Normal 334 2 3 2" xfId="26807" xr:uid="{00000000-0005-0000-0000-0000B7680000}"/>
    <cellStyle name="Normal 334 2 3 2 2" xfId="26808" xr:uid="{00000000-0005-0000-0000-0000B8680000}"/>
    <cellStyle name="Normal 334 2 3 3" xfId="26809" xr:uid="{00000000-0005-0000-0000-0000B9680000}"/>
    <cellStyle name="Normal 334 2 4" xfId="26810" xr:uid="{00000000-0005-0000-0000-0000BA680000}"/>
    <cellStyle name="Normal 334 2 4 2" xfId="26811" xr:uid="{00000000-0005-0000-0000-0000BB680000}"/>
    <cellStyle name="Normal 334 2 4 2 2" xfId="26812" xr:uid="{00000000-0005-0000-0000-0000BC680000}"/>
    <cellStyle name="Normal 334 2 4 3" xfId="26813" xr:uid="{00000000-0005-0000-0000-0000BD680000}"/>
    <cellStyle name="Normal 334 2 5" xfId="26814" xr:uid="{00000000-0005-0000-0000-0000BE680000}"/>
    <cellStyle name="Normal 334 3" xfId="26815" xr:uid="{00000000-0005-0000-0000-0000BF680000}"/>
    <cellStyle name="Normal 334 3 2" xfId="26816" xr:uid="{00000000-0005-0000-0000-0000C0680000}"/>
    <cellStyle name="Normal 334 3 2 2" xfId="26817" xr:uid="{00000000-0005-0000-0000-0000C1680000}"/>
    <cellStyle name="Normal 334 3 2 2 2" xfId="26818" xr:uid="{00000000-0005-0000-0000-0000C2680000}"/>
    <cellStyle name="Normal 334 3 2 3" xfId="26819" xr:uid="{00000000-0005-0000-0000-0000C3680000}"/>
    <cellStyle name="Normal 334 3 2 3 2" xfId="26820" xr:uid="{00000000-0005-0000-0000-0000C4680000}"/>
    <cellStyle name="Normal 334 3 2 3 2 2" xfId="26821" xr:uid="{00000000-0005-0000-0000-0000C5680000}"/>
    <cellStyle name="Normal 334 3 2 3 3" xfId="26822" xr:uid="{00000000-0005-0000-0000-0000C6680000}"/>
    <cellStyle name="Normal 334 3 2 4" xfId="26823" xr:uid="{00000000-0005-0000-0000-0000C7680000}"/>
    <cellStyle name="Normal 334 3 3" xfId="26824" xr:uid="{00000000-0005-0000-0000-0000C8680000}"/>
    <cellStyle name="Normal 334 3 3 2" xfId="26825" xr:uid="{00000000-0005-0000-0000-0000C9680000}"/>
    <cellStyle name="Normal 334 3 3 2 2" xfId="26826" xr:uid="{00000000-0005-0000-0000-0000CA680000}"/>
    <cellStyle name="Normal 334 3 3 3" xfId="26827" xr:uid="{00000000-0005-0000-0000-0000CB680000}"/>
    <cellStyle name="Normal 334 3 4" xfId="26828" xr:uid="{00000000-0005-0000-0000-0000CC680000}"/>
    <cellStyle name="Normal 334 3 4 2" xfId="26829" xr:uid="{00000000-0005-0000-0000-0000CD680000}"/>
    <cellStyle name="Normal 334 3 4 2 2" xfId="26830" xr:uid="{00000000-0005-0000-0000-0000CE680000}"/>
    <cellStyle name="Normal 334 3 4 3" xfId="26831" xr:uid="{00000000-0005-0000-0000-0000CF680000}"/>
    <cellStyle name="Normal 334 3 5" xfId="26832" xr:uid="{00000000-0005-0000-0000-0000D0680000}"/>
    <cellStyle name="Normal 334 3 5 2" xfId="26833" xr:uid="{00000000-0005-0000-0000-0000D1680000}"/>
    <cellStyle name="Normal 334 3 5 2 2" xfId="26834" xr:uid="{00000000-0005-0000-0000-0000D2680000}"/>
    <cellStyle name="Normal 334 3 5 3" xfId="26835" xr:uid="{00000000-0005-0000-0000-0000D3680000}"/>
    <cellStyle name="Normal 334 3 6" xfId="26836" xr:uid="{00000000-0005-0000-0000-0000D4680000}"/>
    <cellStyle name="Normal 334 4" xfId="26837" xr:uid="{00000000-0005-0000-0000-0000D5680000}"/>
    <cellStyle name="Normal 334 4 2" xfId="26838" xr:uid="{00000000-0005-0000-0000-0000D6680000}"/>
    <cellStyle name="Normal 334 4 2 2" xfId="26839" xr:uid="{00000000-0005-0000-0000-0000D7680000}"/>
    <cellStyle name="Normal 334 4 3" xfId="26840" xr:uid="{00000000-0005-0000-0000-0000D8680000}"/>
    <cellStyle name="Normal 334 5" xfId="26841" xr:uid="{00000000-0005-0000-0000-0000D9680000}"/>
    <cellStyle name="Normal 334 5 2" xfId="26842" xr:uid="{00000000-0005-0000-0000-0000DA680000}"/>
    <cellStyle name="Normal 334 5 2 2" xfId="26843" xr:uid="{00000000-0005-0000-0000-0000DB680000}"/>
    <cellStyle name="Normal 334 5 3" xfId="26844" xr:uid="{00000000-0005-0000-0000-0000DC680000}"/>
    <cellStyle name="Normal 334 6" xfId="26845" xr:uid="{00000000-0005-0000-0000-0000DD680000}"/>
    <cellStyle name="Normal 334 6 2" xfId="26846" xr:uid="{00000000-0005-0000-0000-0000DE680000}"/>
    <cellStyle name="Normal 334 6 2 2" xfId="26847" xr:uid="{00000000-0005-0000-0000-0000DF680000}"/>
    <cellStyle name="Normal 334 6 3" xfId="26848" xr:uid="{00000000-0005-0000-0000-0000E0680000}"/>
    <cellStyle name="Normal 334 7" xfId="26849" xr:uid="{00000000-0005-0000-0000-0000E1680000}"/>
    <cellStyle name="Normal 335" xfId="26850" xr:uid="{00000000-0005-0000-0000-0000E2680000}"/>
    <cellStyle name="Normal 335 2" xfId="26851" xr:uid="{00000000-0005-0000-0000-0000E3680000}"/>
    <cellStyle name="Normal 335 2 2" xfId="26852" xr:uid="{00000000-0005-0000-0000-0000E4680000}"/>
    <cellStyle name="Normal 335 2 2 2" xfId="26853" xr:uid="{00000000-0005-0000-0000-0000E5680000}"/>
    <cellStyle name="Normal 335 2 3" xfId="26854" xr:uid="{00000000-0005-0000-0000-0000E6680000}"/>
    <cellStyle name="Normal 335 2 3 2" xfId="26855" xr:uid="{00000000-0005-0000-0000-0000E7680000}"/>
    <cellStyle name="Normal 335 2 3 2 2" xfId="26856" xr:uid="{00000000-0005-0000-0000-0000E8680000}"/>
    <cellStyle name="Normal 335 2 3 3" xfId="26857" xr:uid="{00000000-0005-0000-0000-0000E9680000}"/>
    <cellStyle name="Normal 335 2 4" xfId="26858" xr:uid="{00000000-0005-0000-0000-0000EA680000}"/>
    <cellStyle name="Normal 335 2 4 2" xfId="26859" xr:uid="{00000000-0005-0000-0000-0000EB680000}"/>
    <cellStyle name="Normal 335 2 4 2 2" xfId="26860" xr:uid="{00000000-0005-0000-0000-0000EC680000}"/>
    <cellStyle name="Normal 335 2 4 3" xfId="26861" xr:uid="{00000000-0005-0000-0000-0000ED680000}"/>
    <cellStyle name="Normal 335 2 5" xfId="26862" xr:uid="{00000000-0005-0000-0000-0000EE680000}"/>
    <cellStyle name="Normal 335 3" xfId="26863" xr:uid="{00000000-0005-0000-0000-0000EF680000}"/>
    <cellStyle name="Normal 335 3 2" xfId="26864" xr:uid="{00000000-0005-0000-0000-0000F0680000}"/>
    <cellStyle name="Normal 335 3 2 2" xfId="26865" xr:uid="{00000000-0005-0000-0000-0000F1680000}"/>
    <cellStyle name="Normal 335 3 2 2 2" xfId="26866" xr:uid="{00000000-0005-0000-0000-0000F2680000}"/>
    <cellStyle name="Normal 335 3 2 3" xfId="26867" xr:uid="{00000000-0005-0000-0000-0000F3680000}"/>
    <cellStyle name="Normal 335 3 2 3 2" xfId="26868" xr:uid="{00000000-0005-0000-0000-0000F4680000}"/>
    <cellStyle name="Normal 335 3 2 3 2 2" xfId="26869" xr:uid="{00000000-0005-0000-0000-0000F5680000}"/>
    <cellStyle name="Normal 335 3 2 3 3" xfId="26870" xr:uid="{00000000-0005-0000-0000-0000F6680000}"/>
    <cellStyle name="Normal 335 3 2 4" xfId="26871" xr:uid="{00000000-0005-0000-0000-0000F7680000}"/>
    <cellStyle name="Normal 335 3 3" xfId="26872" xr:uid="{00000000-0005-0000-0000-0000F8680000}"/>
    <cellStyle name="Normal 335 3 3 2" xfId="26873" xr:uid="{00000000-0005-0000-0000-0000F9680000}"/>
    <cellStyle name="Normal 335 3 3 2 2" xfId="26874" xr:uid="{00000000-0005-0000-0000-0000FA680000}"/>
    <cellStyle name="Normal 335 3 3 3" xfId="26875" xr:uid="{00000000-0005-0000-0000-0000FB680000}"/>
    <cellStyle name="Normal 335 3 4" xfId="26876" xr:uid="{00000000-0005-0000-0000-0000FC680000}"/>
    <cellStyle name="Normal 335 3 4 2" xfId="26877" xr:uid="{00000000-0005-0000-0000-0000FD680000}"/>
    <cellStyle name="Normal 335 3 4 2 2" xfId="26878" xr:uid="{00000000-0005-0000-0000-0000FE680000}"/>
    <cellStyle name="Normal 335 3 4 3" xfId="26879" xr:uid="{00000000-0005-0000-0000-0000FF680000}"/>
    <cellStyle name="Normal 335 3 5" xfId="26880" xr:uid="{00000000-0005-0000-0000-000000690000}"/>
    <cellStyle name="Normal 335 3 5 2" xfId="26881" xr:uid="{00000000-0005-0000-0000-000001690000}"/>
    <cellStyle name="Normal 335 3 5 2 2" xfId="26882" xr:uid="{00000000-0005-0000-0000-000002690000}"/>
    <cellStyle name="Normal 335 3 5 3" xfId="26883" xr:uid="{00000000-0005-0000-0000-000003690000}"/>
    <cellStyle name="Normal 335 3 6" xfId="26884" xr:uid="{00000000-0005-0000-0000-000004690000}"/>
    <cellStyle name="Normal 335 4" xfId="26885" xr:uid="{00000000-0005-0000-0000-000005690000}"/>
    <cellStyle name="Normal 335 4 2" xfId="26886" xr:uid="{00000000-0005-0000-0000-000006690000}"/>
    <cellStyle name="Normal 335 4 2 2" xfId="26887" xr:uid="{00000000-0005-0000-0000-000007690000}"/>
    <cellStyle name="Normal 335 4 3" xfId="26888" xr:uid="{00000000-0005-0000-0000-000008690000}"/>
    <cellStyle name="Normal 335 5" xfId="26889" xr:uid="{00000000-0005-0000-0000-000009690000}"/>
    <cellStyle name="Normal 335 5 2" xfId="26890" xr:uid="{00000000-0005-0000-0000-00000A690000}"/>
    <cellStyle name="Normal 335 5 2 2" xfId="26891" xr:uid="{00000000-0005-0000-0000-00000B690000}"/>
    <cellStyle name="Normal 335 5 3" xfId="26892" xr:uid="{00000000-0005-0000-0000-00000C690000}"/>
    <cellStyle name="Normal 335 6" xfId="26893" xr:uid="{00000000-0005-0000-0000-00000D690000}"/>
    <cellStyle name="Normal 335 6 2" xfId="26894" xr:uid="{00000000-0005-0000-0000-00000E690000}"/>
    <cellStyle name="Normal 335 6 2 2" xfId="26895" xr:uid="{00000000-0005-0000-0000-00000F690000}"/>
    <cellStyle name="Normal 335 6 3" xfId="26896" xr:uid="{00000000-0005-0000-0000-000010690000}"/>
    <cellStyle name="Normal 335 7" xfId="26897" xr:uid="{00000000-0005-0000-0000-000011690000}"/>
    <cellStyle name="Normal 336" xfId="26898" xr:uid="{00000000-0005-0000-0000-000012690000}"/>
    <cellStyle name="Normal 336 2" xfId="26899" xr:uid="{00000000-0005-0000-0000-000013690000}"/>
    <cellStyle name="Normal 336 2 2" xfId="26900" xr:uid="{00000000-0005-0000-0000-000014690000}"/>
    <cellStyle name="Normal 336 2 2 2" xfId="26901" xr:uid="{00000000-0005-0000-0000-000015690000}"/>
    <cellStyle name="Normal 336 2 3" xfId="26902" xr:uid="{00000000-0005-0000-0000-000016690000}"/>
    <cellStyle name="Normal 336 2 3 2" xfId="26903" xr:uid="{00000000-0005-0000-0000-000017690000}"/>
    <cellStyle name="Normal 336 2 3 2 2" xfId="26904" xr:uid="{00000000-0005-0000-0000-000018690000}"/>
    <cellStyle name="Normal 336 2 3 3" xfId="26905" xr:uid="{00000000-0005-0000-0000-000019690000}"/>
    <cellStyle name="Normal 336 2 4" xfId="26906" xr:uid="{00000000-0005-0000-0000-00001A690000}"/>
    <cellStyle name="Normal 336 2 4 2" xfId="26907" xr:uid="{00000000-0005-0000-0000-00001B690000}"/>
    <cellStyle name="Normal 336 2 4 2 2" xfId="26908" xr:uid="{00000000-0005-0000-0000-00001C690000}"/>
    <cellStyle name="Normal 336 2 4 3" xfId="26909" xr:uid="{00000000-0005-0000-0000-00001D690000}"/>
    <cellStyle name="Normal 336 2 5" xfId="26910" xr:uid="{00000000-0005-0000-0000-00001E690000}"/>
    <cellStyle name="Normal 336 3" xfId="26911" xr:uid="{00000000-0005-0000-0000-00001F690000}"/>
    <cellStyle name="Normal 336 3 2" xfId="26912" xr:uid="{00000000-0005-0000-0000-000020690000}"/>
    <cellStyle name="Normal 336 3 2 2" xfId="26913" xr:uid="{00000000-0005-0000-0000-000021690000}"/>
    <cellStyle name="Normal 336 3 2 2 2" xfId="26914" xr:uid="{00000000-0005-0000-0000-000022690000}"/>
    <cellStyle name="Normal 336 3 2 3" xfId="26915" xr:uid="{00000000-0005-0000-0000-000023690000}"/>
    <cellStyle name="Normal 336 3 2 3 2" xfId="26916" xr:uid="{00000000-0005-0000-0000-000024690000}"/>
    <cellStyle name="Normal 336 3 2 3 2 2" xfId="26917" xr:uid="{00000000-0005-0000-0000-000025690000}"/>
    <cellStyle name="Normal 336 3 2 3 3" xfId="26918" xr:uid="{00000000-0005-0000-0000-000026690000}"/>
    <cellStyle name="Normal 336 3 2 4" xfId="26919" xr:uid="{00000000-0005-0000-0000-000027690000}"/>
    <cellStyle name="Normal 336 3 3" xfId="26920" xr:uid="{00000000-0005-0000-0000-000028690000}"/>
    <cellStyle name="Normal 336 3 3 2" xfId="26921" xr:uid="{00000000-0005-0000-0000-000029690000}"/>
    <cellStyle name="Normal 336 3 3 2 2" xfId="26922" xr:uid="{00000000-0005-0000-0000-00002A690000}"/>
    <cellStyle name="Normal 336 3 3 3" xfId="26923" xr:uid="{00000000-0005-0000-0000-00002B690000}"/>
    <cellStyle name="Normal 336 3 4" xfId="26924" xr:uid="{00000000-0005-0000-0000-00002C690000}"/>
    <cellStyle name="Normal 336 3 4 2" xfId="26925" xr:uid="{00000000-0005-0000-0000-00002D690000}"/>
    <cellStyle name="Normal 336 3 4 2 2" xfId="26926" xr:uid="{00000000-0005-0000-0000-00002E690000}"/>
    <cellStyle name="Normal 336 3 4 3" xfId="26927" xr:uid="{00000000-0005-0000-0000-00002F690000}"/>
    <cellStyle name="Normal 336 3 5" xfId="26928" xr:uid="{00000000-0005-0000-0000-000030690000}"/>
    <cellStyle name="Normal 336 3 5 2" xfId="26929" xr:uid="{00000000-0005-0000-0000-000031690000}"/>
    <cellStyle name="Normal 336 3 5 2 2" xfId="26930" xr:uid="{00000000-0005-0000-0000-000032690000}"/>
    <cellStyle name="Normal 336 3 5 3" xfId="26931" xr:uid="{00000000-0005-0000-0000-000033690000}"/>
    <cellStyle name="Normal 336 3 6" xfId="26932" xr:uid="{00000000-0005-0000-0000-000034690000}"/>
    <cellStyle name="Normal 336 4" xfId="26933" xr:uid="{00000000-0005-0000-0000-000035690000}"/>
    <cellStyle name="Normal 336 4 2" xfId="26934" xr:uid="{00000000-0005-0000-0000-000036690000}"/>
    <cellStyle name="Normal 336 4 2 2" xfId="26935" xr:uid="{00000000-0005-0000-0000-000037690000}"/>
    <cellStyle name="Normal 336 4 3" xfId="26936" xr:uid="{00000000-0005-0000-0000-000038690000}"/>
    <cellStyle name="Normal 336 5" xfId="26937" xr:uid="{00000000-0005-0000-0000-000039690000}"/>
    <cellStyle name="Normal 336 5 2" xfId="26938" xr:uid="{00000000-0005-0000-0000-00003A690000}"/>
    <cellStyle name="Normal 336 5 2 2" xfId="26939" xr:uid="{00000000-0005-0000-0000-00003B690000}"/>
    <cellStyle name="Normal 336 5 3" xfId="26940" xr:uid="{00000000-0005-0000-0000-00003C690000}"/>
    <cellStyle name="Normal 336 6" xfId="26941" xr:uid="{00000000-0005-0000-0000-00003D690000}"/>
    <cellStyle name="Normal 336 6 2" xfId="26942" xr:uid="{00000000-0005-0000-0000-00003E690000}"/>
    <cellStyle name="Normal 336 6 2 2" xfId="26943" xr:uid="{00000000-0005-0000-0000-00003F690000}"/>
    <cellStyle name="Normal 336 6 3" xfId="26944" xr:uid="{00000000-0005-0000-0000-000040690000}"/>
    <cellStyle name="Normal 336 7" xfId="26945" xr:uid="{00000000-0005-0000-0000-000041690000}"/>
    <cellStyle name="Normal 337" xfId="26946" xr:uid="{00000000-0005-0000-0000-000042690000}"/>
    <cellStyle name="Normal 337 2" xfId="26947" xr:uid="{00000000-0005-0000-0000-000043690000}"/>
    <cellStyle name="Normal 337 2 2" xfId="26948" xr:uid="{00000000-0005-0000-0000-000044690000}"/>
    <cellStyle name="Normal 337 2 2 2" xfId="26949" xr:uid="{00000000-0005-0000-0000-000045690000}"/>
    <cellStyle name="Normal 337 2 3" xfId="26950" xr:uid="{00000000-0005-0000-0000-000046690000}"/>
    <cellStyle name="Normal 337 2 3 2" xfId="26951" xr:uid="{00000000-0005-0000-0000-000047690000}"/>
    <cellStyle name="Normal 337 2 3 2 2" xfId="26952" xr:uid="{00000000-0005-0000-0000-000048690000}"/>
    <cellStyle name="Normal 337 2 3 3" xfId="26953" xr:uid="{00000000-0005-0000-0000-000049690000}"/>
    <cellStyle name="Normal 337 2 4" xfId="26954" xr:uid="{00000000-0005-0000-0000-00004A690000}"/>
    <cellStyle name="Normal 337 2 4 2" xfId="26955" xr:uid="{00000000-0005-0000-0000-00004B690000}"/>
    <cellStyle name="Normal 337 2 4 2 2" xfId="26956" xr:uid="{00000000-0005-0000-0000-00004C690000}"/>
    <cellStyle name="Normal 337 2 4 3" xfId="26957" xr:uid="{00000000-0005-0000-0000-00004D690000}"/>
    <cellStyle name="Normal 337 2 5" xfId="26958" xr:uid="{00000000-0005-0000-0000-00004E690000}"/>
    <cellStyle name="Normal 337 3" xfId="26959" xr:uid="{00000000-0005-0000-0000-00004F690000}"/>
    <cellStyle name="Normal 337 3 2" xfId="26960" xr:uid="{00000000-0005-0000-0000-000050690000}"/>
    <cellStyle name="Normal 337 3 2 2" xfId="26961" xr:uid="{00000000-0005-0000-0000-000051690000}"/>
    <cellStyle name="Normal 337 3 2 2 2" xfId="26962" xr:uid="{00000000-0005-0000-0000-000052690000}"/>
    <cellStyle name="Normal 337 3 2 3" xfId="26963" xr:uid="{00000000-0005-0000-0000-000053690000}"/>
    <cellStyle name="Normal 337 3 2 3 2" xfId="26964" xr:uid="{00000000-0005-0000-0000-000054690000}"/>
    <cellStyle name="Normal 337 3 2 3 2 2" xfId="26965" xr:uid="{00000000-0005-0000-0000-000055690000}"/>
    <cellStyle name="Normal 337 3 2 3 3" xfId="26966" xr:uid="{00000000-0005-0000-0000-000056690000}"/>
    <cellStyle name="Normal 337 3 2 4" xfId="26967" xr:uid="{00000000-0005-0000-0000-000057690000}"/>
    <cellStyle name="Normal 337 3 3" xfId="26968" xr:uid="{00000000-0005-0000-0000-000058690000}"/>
    <cellStyle name="Normal 337 3 3 2" xfId="26969" xr:uid="{00000000-0005-0000-0000-000059690000}"/>
    <cellStyle name="Normal 337 3 3 2 2" xfId="26970" xr:uid="{00000000-0005-0000-0000-00005A690000}"/>
    <cellStyle name="Normal 337 3 3 3" xfId="26971" xr:uid="{00000000-0005-0000-0000-00005B690000}"/>
    <cellStyle name="Normal 337 3 4" xfId="26972" xr:uid="{00000000-0005-0000-0000-00005C690000}"/>
    <cellStyle name="Normal 337 3 4 2" xfId="26973" xr:uid="{00000000-0005-0000-0000-00005D690000}"/>
    <cellStyle name="Normal 337 3 4 2 2" xfId="26974" xr:uid="{00000000-0005-0000-0000-00005E690000}"/>
    <cellStyle name="Normal 337 3 4 3" xfId="26975" xr:uid="{00000000-0005-0000-0000-00005F690000}"/>
    <cellStyle name="Normal 337 3 5" xfId="26976" xr:uid="{00000000-0005-0000-0000-000060690000}"/>
    <cellStyle name="Normal 337 3 5 2" xfId="26977" xr:uid="{00000000-0005-0000-0000-000061690000}"/>
    <cellStyle name="Normal 337 3 5 2 2" xfId="26978" xr:uid="{00000000-0005-0000-0000-000062690000}"/>
    <cellStyle name="Normal 337 3 5 3" xfId="26979" xr:uid="{00000000-0005-0000-0000-000063690000}"/>
    <cellStyle name="Normal 337 3 6" xfId="26980" xr:uid="{00000000-0005-0000-0000-000064690000}"/>
    <cellStyle name="Normal 337 4" xfId="26981" xr:uid="{00000000-0005-0000-0000-000065690000}"/>
    <cellStyle name="Normal 337 4 2" xfId="26982" xr:uid="{00000000-0005-0000-0000-000066690000}"/>
    <cellStyle name="Normal 337 4 2 2" xfId="26983" xr:uid="{00000000-0005-0000-0000-000067690000}"/>
    <cellStyle name="Normal 337 4 3" xfId="26984" xr:uid="{00000000-0005-0000-0000-000068690000}"/>
    <cellStyle name="Normal 337 5" xfId="26985" xr:uid="{00000000-0005-0000-0000-000069690000}"/>
    <cellStyle name="Normal 337 5 2" xfId="26986" xr:uid="{00000000-0005-0000-0000-00006A690000}"/>
    <cellStyle name="Normal 337 5 2 2" xfId="26987" xr:uid="{00000000-0005-0000-0000-00006B690000}"/>
    <cellStyle name="Normal 337 5 3" xfId="26988" xr:uid="{00000000-0005-0000-0000-00006C690000}"/>
    <cellStyle name="Normal 337 6" xfId="26989" xr:uid="{00000000-0005-0000-0000-00006D690000}"/>
    <cellStyle name="Normal 337 6 2" xfId="26990" xr:uid="{00000000-0005-0000-0000-00006E690000}"/>
    <cellStyle name="Normal 337 6 2 2" xfId="26991" xr:uid="{00000000-0005-0000-0000-00006F690000}"/>
    <cellStyle name="Normal 337 6 3" xfId="26992" xr:uid="{00000000-0005-0000-0000-000070690000}"/>
    <cellStyle name="Normal 337 7" xfId="26993" xr:uid="{00000000-0005-0000-0000-000071690000}"/>
    <cellStyle name="Normal 338" xfId="65" xr:uid="{00000000-0005-0000-0000-000041000000}"/>
    <cellStyle name="Normal 338 2" xfId="26994" xr:uid="{00000000-0005-0000-0000-000072690000}"/>
    <cellStyle name="Normal 338 2 2" xfId="26995" xr:uid="{00000000-0005-0000-0000-000073690000}"/>
    <cellStyle name="Normal 338 2 2 2" xfId="26996" xr:uid="{00000000-0005-0000-0000-000074690000}"/>
    <cellStyle name="Normal 338 2 3" xfId="26997" xr:uid="{00000000-0005-0000-0000-000075690000}"/>
    <cellStyle name="Normal 338 2 3 2" xfId="26998" xr:uid="{00000000-0005-0000-0000-000076690000}"/>
    <cellStyle name="Normal 338 2 3 2 2" xfId="26999" xr:uid="{00000000-0005-0000-0000-000077690000}"/>
    <cellStyle name="Normal 338 2 3 3" xfId="27000" xr:uid="{00000000-0005-0000-0000-000078690000}"/>
    <cellStyle name="Normal 338 2 4" xfId="27001" xr:uid="{00000000-0005-0000-0000-000079690000}"/>
    <cellStyle name="Normal 338 2 4 2" xfId="27002" xr:uid="{00000000-0005-0000-0000-00007A690000}"/>
    <cellStyle name="Normal 338 2 4 2 2" xfId="27003" xr:uid="{00000000-0005-0000-0000-00007B690000}"/>
    <cellStyle name="Normal 338 2 4 3" xfId="27004" xr:uid="{00000000-0005-0000-0000-00007C690000}"/>
    <cellStyle name="Normal 338 2 5" xfId="27005" xr:uid="{00000000-0005-0000-0000-00007D690000}"/>
    <cellStyle name="Normal 338 3" xfId="27006" xr:uid="{00000000-0005-0000-0000-00007E690000}"/>
    <cellStyle name="Normal 338 3 2" xfId="27007" xr:uid="{00000000-0005-0000-0000-00007F690000}"/>
    <cellStyle name="Normal 338 3 2 2" xfId="27008" xr:uid="{00000000-0005-0000-0000-000080690000}"/>
    <cellStyle name="Normal 338 3 2 2 2" xfId="27009" xr:uid="{00000000-0005-0000-0000-000081690000}"/>
    <cellStyle name="Normal 338 3 2 3" xfId="27010" xr:uid="{00000000-0005-0000-0000-000082690000}"/>
    <cellStyle name="Normal 338 3 2 3 2" xfId="27011" xr:uid="{00000000-0005-0000-0000-000083690000}"/>
    <cellStyle name="Normal 338 3 2 3 2 2" xfId="27012" xr:uid="{00000000-0005-0000-0000-000084690000}"/>
    <cellStyle name="Normal 338 3 2 3 3" xfId="27013" xr:uid="{00000000-0005-0000-0000-000085690000}"/>
    <cellStyle name="Normal 338 3 2 4" xfId="27014" xr:uid="{00000000-0005-0000-0000-000086690000}"/>
    <cellStyle name="Normal 338 3 3" xfId="27015" xr:uid="{00000000-0005-0000-0000-000087690000}"/>
    <cellStyle name="Normal 338 3 3 2" xfId="27016" xr:uid="{00000000-0005-0000-0000-000088690000}"/>
    <cellStyle name="Normal 338 3 3 2 2" xfId="27017" xr:uid="{00000000-0005-0000-0000-000089690000}"/>
    <cellStyle name="Normal 338 3 3 3" xfId="27018" xr:uid="{00000000-0005-0000-0000-00008A690000}"/>
    <cellStyle name="Normal 338 3 4" xfId="27019" xr:uid="{00000000-0005-0000-0000-00008B690000}"/>
    <cellStyle name="Normal 338 3 4 2" xfId="27020" xr:uid="{00000000-0005-0000-0000-00008C690000}"/>
    <cellStyle name="Normal 338 3 4 2 2" xfId="27021" xr:uid="{00000000-0005-0000-0000-00008D690000}"/>
    <cellStyle name="Normal 338 3 4 3" xfId="27022" xr:uid="{00000000-0005-0000-0000-00008E690000}"/>
    <cellStyle name="Normal 338 3 5" xfId="27023" xr:uid="{00000000-0005-0000-0000-00008F690000}"/>
    <cellStyle name="Normal 338 3 5 2" xfId="27024" xr:uid="{00000000-0005-0000-0000-000090690000}"/>
    <cellStyle name="Normal 338 3 5 2 2" xfId="27025" xr:uid="{00000000-0005-0000-0000-000091690000}"/>
    <cellStyle name="Normal 338 3 5 3" xfId="27026" xr:uid="{00000000-0005-0000-0000-000092690000}"/>
    <cellStyle name="Normal 338 3 6" xfId="27027" xr:uid="{00000000-0005-0000-0000-000093690000}"/>
    <cellStyle name="Normal 338 4" xfId="27028" xr:uid="{00000000-0005-0000-0000-000094690000}"/>
    <cellStyle name="Normal 338 4 2" xfId="27029" xr:uid="{00000000-0005-0000-0000-000095690000}"/>
    <cellStyle name="Normal 338 4 2 2" xfId="27030" xr:uid="{00000000-0005-0000-0000-000096690000}"/>
    <cellStyle name="Normal 338 4 3" xfId="27031" xr:uid="{00000000-0005-0000-0000-000097690000}"/>
    <cellStyle name="Normal 338 5" xfId="27032" xr:uid="{00000000-0005-0000-0000-000098690000}"/>
    <cellStyle name="Normal 338 5 2" xfId="27033" xr:uid="{00000000-0005-0000-0000-000099690000}"/>
    <cellStyle name="Normal 338 5 2 2" xfId="27034" xr:uid="{00000000-0005-0000-0000-00009A690000}"/>
    <cellStyle name="Normal 338 5 3" xfId="27035" xr:uid="{00000000-0005-0000-0000-00009B690000}"/>
    <cellStyle name="Normal 338 6" xfId="27036" xr:uid="{00000000-0005-0000-0000-00009C690000}"/>
    <cellStyle name="Normal 338 6 2" xfId="27037" xr:uid="{00000000-0005-0000-0000-00009D690000}"/>
    <cellStyle name="Normal 338 6 2 2" xfId="27038" xr:uid="{00000000-0005-0000-0000-00009E690000}"/>
    <cellStyle name="Normal 338 6 3" xfId="27039" xr:uid="{00000000-0005-0000-0000-00009F690000}"/>
    <cellStyle name="Normal 338 7" xfId="27040" xr:uid="{00000000-0005-0000-0000-0000A0690000}"/>
    <cellStyle name="Normal 339" xfId="27041" xr:uid="{00000000-0005-0000-0000-0000A1690000}"/>
    <cellStyle name="Normal 339 2" xfId="27042" xr:uid="{00000000-0005-0000-0000-0000A2690000}"/>
    <cellStyle name="Normal 339 2 2" xfId="27043" xr:uid="{00000000-0005-0000-0000-0000A3690000}"/>
    <cellStyle name="Normal 339 2 2 2" xfId="27044" xr:uid="{00000000-0005-0000-0000-0000A4690000}"/>
    <cellStyle name="Normal 339 2 3" xfId="27045" xr:uid="{00000000-0005-0000-0000-0000A5690000}"/>
    <cellStyle name="Normal 339 2 3 2" xfId="27046" xr:uid="{00000000-0005-0000-0000-0000A6690000}"/>
    <cellStyle name="Normal 339 2 3 2 2" xfId="27047" xr:uid="{00000000-0005-0000-0000-0000A7690000}"/>
    <cellStyle name="Normal 339 2 3 3" xfId="27048" xr:uid="{00000000-0005-0000-0000-0000A8690000}"/>
    <cellStyle name="Normal 339 2 4" xfId="27049" xr:uid="{00000000-0005-0000-0000-0000A9690000}"/>
    <cellStyle name="Normal 339 2 4 2" xfId="27050" xr:uid="{00000000-0005-0000-0000-0000AA690000}"/>
    <cellStyle name="Normal 339 2 4 2 2" xfId="27051" xr:uid="{00000000-0005-0000-0000-0000AB690000}"/>
    <cellStyle name="Normal 339 2 4 3" xfId="27052" xr:uid="{00000000-0005-0000-0000-0000AC690000}"/>
    <cellStyle name="Normal 339 2 5" xfId="27053" xr:uid="{00000000-0005-0000-0000-0000AD690000}"/>
    <cellStyle name="Normal 339 3" xfId="27054" xr:uid="{00000000-0005-0000-0000-0000AE690000}"/>
    <cellStyle name="Normal 339 3 2" xfId="27055" xr:uid="{00000000-0005-0000-0000-0000AF690000}"/>
    <cellStyle name="Normal 339 3 2 2" xfId="27056" xr:uid="{00000000-0005-0000-0000-0000B0690000}"/>
    <cellStyle name="Normal 339 3 2 2 2" xfId="27057" xr:uid="{00000000-0005-0000-0000-0000B1690000}"/>
    <cellStyle name="Normal 339 3 2 3" xfId="27058" xr:uid="{00000000-0005-0000-0000-0000B2690000}"/>
    <cellStyle name="Normal 339 3 2 3 2" xfId="27059" xr:uid="{00000000-0005-0000-0000-0000B3690000}"/>
    <cellStyle name="Normal 339 3 2 3 2 2" xfId="27060" xr:uid="{00000000-0005-0000-0000-0000B4690000}"/>
    <cellStyle name="Normal 339 3 2 3 3" xfId="27061" xr:uid="{00000000-0005-0000-0000-0000B5690000}"/>
    <cellStyle name="Normal 339 3 2 4" xfId="27062" xr:uid="{00000000-0005-0000-0000-0000B6690000}"/>
    <cellStyle name="Normal 339 3 3" xfId="27063" xr:uid="{00000000-0005-0000-0000-0000B7690000}"/>
    <cellStyle name="Normal 339 3 3 2" xfId="27064" xr:uid="{00000000-0005-0000-0000-0000B8690000}"/>
    <cellStyle name="Normal 339 3 3 2 2" xfId="27065" xr:uid="{00000000-0005-0000-0000-0000B9690000}"/>
    <cellStyle name="Normal 339 3 3 3" xfId="27066" xr:uid="{00000000-0005-0000-0000-0000BA690000}"/>
    <cellStyle name="Normal 339 3 4" xfId="27067" xr:uid="{00000000-0005-0000-0000-0000BB690000}"/>
    <cellStyle name="Normal 339 3 4 2" xfId="27068" xr:uid="{00000000-0005-0000-0000-0000BC690000}"/>
    <cellStyle name="Normal 339 3 4 2 2" xfId="27069" xr:uid="{00000000-0005-0000-0000-0000BD690000}"/>
    <cellStyle name="Normal 339 3 4 3" xfId="27070" xr:uid="{00000000-0005-0000-0000-0000BE690000}"/>
    <cellStyle name="Normal 339 3 5" xfId="27071" xr:uid="{00000000-0005-0000-0000-0000BF690000}"/>
    <cellStyle name="Normal 339 3 5 2" xfId="27072" xr:uid="{00000000-0005-0000-0000-0000C0690000}"/>
    <cellStyle name="Normal 339 3 5 2 2" xfId="27073" xr:uid="{00000000-0005-0000-0000-0000C1690000}"/>
    <cellStyle name="Normal 339 3 5 3" xfId="27074" xr:uid="{00000000-0005-0000-0000-0000C2690000}"/>
    <cellStyle name="Normal 339 3 6" xfId="27075" xr:uid="{00000000-0005-0000-0000-0000C3690000}"/>
    <cellStyle name="Normal 339 4" xfId="27076" xr:uid="{00000000-0005-0000-0000-0000C4690000}"/>
    <cellStyle name="Normal 339 4 2" xfId="27077" xr:uid="{00000000-0005-0000-0000-0000C5690000}"/>
    <cellStyle name="Normal 339 4 2 2" xfId="27078" xr:uid="{00000000-0005-0000-0000-0000C6690000}"/>
    <cellStyle name="Normal 339 4 3" xfId="27079" xr:uid="{00000000-0005-0000-0000-0000C7690000}"/>
    <cellStyle name="Normal 339 5" xfId="27080" xr:uid="{00000000-0005-0000-0000-0000C8690000}"/>
    <cellStyle name="Normal 339 5 2" xfId="27081" xr:uid="{00000000-0005-0000-0000-0000C9690000}"/>
    <cellStyle name="Normal 339 5 2 2" xfId="27082" xr:uid="{00000000-0005-0000-0000-0000CA690000}"/>
    <cellStyle name="Normal 339 5 3" xfId="27083" xr:uid="{00000000-0005-0000-0000-0000CB690000}"/>
    <cellStyle name="Normal 339 6" xfId="27084" xr:uid="{00000000-0005-0000-0000-0000CC690000}"/>
    <cellStyle name="Normal 339 6 2" xfId="27085" xr:uid="{00000000-0005-0000-0000-0000CD690000}"/>
    <cellStyle name="Normal 339 6 2 2" xfId="27086" xr:uid="{00000000-0005-0000-0000-0000CE690000}"/>
    <cellStyle name="Normal 339 6 3" xfId="27087" xr:uid="{00000000-0005-0000-0000-0000CF690000}"/>
    <cellStyle name="Normal 339 7" xfId="27088" xr:uid="{00000000-0005-0000-0000-0000D0690000}"/>
    <cellStyle name="Normal 34" xfId="27089" xr:uid="{00000000-0005-0000-0000-0000D1690000}"/>
    <cellStyle name="Normal 34 2" xfId="27090" xr:uid="{00000000-0005-0000-0000-0000D2690000}"/>
    <cellStyle name="Normal 34 2 2" xfId="27091" xr:uid="{00000000-0005-0000-0000-0000D3690000}"/>
    <cellStyle name="Normal 34 2 2 2" xfId="27092" xr:uid="{00000000-0005-0000-0000-0000D4690000}"/>
    <cellStyle name="Normal 34 2 2 2 2" xfId="27093" xr:uid="{00000000-0005-0000-0000-0000D5690000}"/>
    <cellStyle name="Normal 34 2 2 3" xfId="27094" xr:uid="{00000000-0005-0000-0000-0000D6690000}"/>
    <cellStyle name="Normal 34 2 2 3 2" xfId="27095" xr:uid="{00000000-0005-0000-0000-0000D7690000}"/>
    <cellStyle name="Normal 34 2 2 3 2 2" xfId="27096" xr:uid="{00000000-0005-0000-0000-0000D8690000}"/>
    <cellStyle name="Normal 34 2 2 3 3" xfId="27097" xr:uid="{00000000-0005-0000-0000-0000D9690000}"/>
    <cellStyle name="Normal 34 2 2 4" xfId="27098" xr:uid="{00000000-0005-0000-0000-0000DA690000}"/>
    <cellStyle name="Normal 34 2 2 4 2" xfId="27099" xr:uid="{00000000-0005-0000-0000-0000DB690000}"/>
    <cellStyle name="Normal 34 2 2 4 2 2" xfId="27100" xr:uid="{00000000-0005-0000-0000-0000DC690000}"/>
    <cellStyle name="Normal 34 2 2 4 3" xfId="27101" xr:uid="{00000000-0005-0000-0000-0000DD690000}"/>
    <cellStyle name="Normal 34 2 2 5" xfId="27102" xr:uid="{00000000-0005-0000-0000-0000DE690000}"/>
    <cellStyle name="Normal 34 2 3" xfId="27103" xr:uid="{00000000-0005-0000-0000-0000DF690000}"/>
    <cellStyle name="Normal 34 2 3 2" xfId="27104" xr:uid="{00000000-0005-0000-0000-0000E0690000}"/>
    <cellStyle name="Normal 34 2 3 2 2" xfId="27105" xr:uid="{00000000-0005-0000-0000-0000E1690000}"/>
    <cellStyle name="Normal 34 2 3 3" xfId="27106" xr:uid="{00000000-0005-0000-0000-0000E2690000}"/>
    <cellStyle name="Normal 34 2 4" xfId="27107" xr:uid="{00000000-0005-0000-0000-0000E3690000}"/>
    <cellStyle name="Normal 34 2 4 2" xfId="27108" xr:uid="{00000000-0005-0000-0000-0000E4690000}"/>
    <cellStyle name="Normal 34 2 4 2 2" xfId="27109" xr:uid="{00000000-0005-0000-0000-0000E5690000}"/>
    <cellStyle name="Normal 34 2 4 3" xfId="27110" xr:uid="{00000000-0005-0000-0000-0000E6690000}"/>
    <cellStyle name="Normal 34 2 5" xfId="27111" xr:uid="{00000000-0005-0000-0000-0000E7690000}"/>
    <cellStyle name="Normal 34 2 5 2" xfId="27112" xr:uid="{00000000-0005-0000-0000-0000E8690000}"/>
    <cellStyle name="Normal 34 2 5 2 2" xfId="27113" xr:uid="{00000000-0005-0000-0000-0000E9690000}"/>
    <cellStyle name="Normal 34 2 5 3" xfId="27114" xr:uid="{00000000-0005-0000-0000-0000EA690000}"/>
    <cellStyle name="Normal 34 2 6" xfId="27115" xr:uid="{00000000-0005-0000-0000-0000EB690000}"/>
    <cellStyle name="Normal 34 3" xfId="27116" xr:uid="{00000000-0005-0000-0000-0000EC690000}"/>
    <cellStyle name="Normal 34 3 2" xfId="27117" xr:uid="{00000000-0005-0000-0000-0000ED690000}"/>
    <cellStyle name="Normal 34 3 2 2" xfId="27118" xr:uid="{00000000-0005-0000-0000-0000EE690000}"/>
    <cellStyle name="Normal 34 3 3" xfId="27119" xr:uid="{00000000-0005-0000-0000-0000EF690000}"/>
    <cellStyle name="Normal 34 3 3 2" xfId="27120" xr:uid="{00000000-0005-0000-0000-0000F0690000}"/>
    <cellStyle name="Normal 34 3 3 2 2" xfId="27121" xr:uid="{00000000-0005-0000-0000-0000F1690000}"/>
    <cellStyle name="Normal 34 3 3 3" xfId="27122" xr:uid="{00000000-0005-0000-0000-0000F2690000}"/>
    <cellStyle name="Normal 34 3 4" xfId="27123" xr:uid="{00000000-0005-0000-0000-0000F3690000}"/>
    <cellStyle name="Normal 34 3 4 2" xfId="27124" xr:uid="{00000000-0005-0000-0000-0000F4690000}"/>
    <cellStyle name="Normal 34 3 4 2 2" xfId="27125" xr:uid="{00000000-0005-0000-0000-0000F5690000}"/>
    <cellStyle name="Normal 34 3 4 3" xfId="27126" xr:uid="{00000000-0005-0000-0000-0000F6690000}"/>
    <cellStyle name="Normal 34 3 5" xfId="27127" xr:uid="{00000000-0005-0000-0000-0000F7690000}"/>
    <cellStyle name="Normal 34 4" xfId="27128" xr:uid="{00000000-0005-0000-0000-0000F8690000}"/>
    <cellStyle name="Normal 34 4 2" xfId="27129" xr:uid="{00000000-0005-0000-0000-0000F9690000}"/>
    <cellStyle name="Normal 34 4 2 2" xfId="27130" xr:uid="{00000000-0005-0000-0000-0000FA690000}"/>
    <cellStyle name="Normal 34 4 3" xfId="27131" xr:uid="{00000000-0005-0000-0000-0000FB690000}"/>
    <cellStyle name="Normal 34 5" xfId="27132" xr:uid="{00000000-0005-0000-0000-0000FC690000}"/>
    <cellStyle name="Normal 34 5 2" xfId="27133" xr:uid="{00000000-0005-0000-0000-0000FD690000}"/>
    <cellStyle name="Normal 34 5 2 2" xfId="27134" xr:uid="{00000000-0005-0000-0000-0000FE690000}"/>
    <cellStyle name="Normal 34 5 3" xfId="27135" xr:uid="{00000000-0005-0000-0000-0000FF690000}"/>
    <cellStyle name="Normal 34 6" xfId="27136" xr:uid="{00000000-0005-0000-0000-0000006A0000}"/>
    <cellStyle name="Normal 34 6 2" xfId="27137" xr:uid="{00000000-0005-0000-0000-0000016A0000}"/>
    <cellStyle name="Normal 34 6 2 2" xfId="27138" xr:uid="{00000000-0005-0000-0000-0000026A0000}"/>
    <cellStyle name="Normal 34 6 3" xfId="27139" xr:uid="{00000000-0005-0000-0000-0000036A0000}"/>
    <cellStyle name="Normal 34 7" xfId="27140" xr:uid="{00000000-0005-0000-0000-0000046A0000}"/>
    <cellStyle name="Normal 340" xfId="27141" xr:uid="{00000000-0005-0000-0000-0000056A0000}"/>
    <cellStyle name="Normal 340 2" xfId="27142" xr:uid="{00000000-0005-0000-0000-0000066A0000}"/>
    <cellStyle name="Normal 340 2 2" xfId="27143" xr:uid="{00000000-0005-0000-0000-0000076A0000}"/>
    <cellStyle name="Normal 340 2 2 2" xfId="27144" xr:uid="{00000000-0005-0000-0000-0000086A0000}"/>
    <cellStyle name="Normal 340 2 3" xfId="27145" xr:uid="{00000000-0005-0000-0000-0000096A0000}"/>
    <cellStyle name="Normal 340 2 3 2" xfId="27146" xr:uid="{00000000-0005-0000-0000-00000A6A0000}"/>
    <cellStyle name="Normal 340 2 3 2 2" xfId="27147" xr:uid="{00000000-0005-0000-0000-00000B6A0000}"/>
    <cellStyle name="Normal 340 2 3 3" xfId="27148" xr:uid="{00000000-0005-0000-0000-00000C6A0000}"/>
    <cellStyle name="Normal 340 2 4" xfId="27149" xr:uid="{00000000-0005-0000-0000-00000D6A0000}"/>
    <cellStyle name="Normal 340 2 4 2" xfId="27150" xr:uid="{00000000-0005-0000-0000-00000E6A0000}"/>
    <cellStyle name="Normal 340 2 4 2 2" xfId="27151" xr:uid="{00000000-0005-0000-0000-00000F6A0000}"/>
    <cellStyle name="Normal 340 2 4 3" xfId="27152" xr:uid="{00000000-0005-0000-0000-0000106A0000}"/>
    <cellStyle name="Normal 340 2 5" xfId="27153" xr:uid="{00000000-0005-0000-0000-0000116A0000}"/>
    <cellStyle name="Normal 340 3" xfId="27154" xr:uid="{00000000-0005-0000-0000-0000126A0000}"/>
    <cellStyle name="Normal 340 3 2" xfId="27155" xr:uid="{00000000-0005-0000-0000-0000136A0000}"/>
    <cellStyle name="Normal 340 3 2 2" xfId="27156" xr:uid="{00000000-0005-0000-0000-0000146A0000}"/>
    <cellStyle name="Normal 340 3 2 2 2" xfId="27157" xr:uid="{00000000-0005-0000-0000-0000156A0000}"/>
    <cellStyle name="Normal 340 3 2 3" xfId="27158" xr:uid="{00000000-0005-0000-0000-0000166A0000}"/>
    <cellStyle name="Normal 340 3 2 3 2" xfId="27159" xr:uid="{00000000-0005-0000-0000-0000176A0000}"/>
    <cellStyle name="Normal 340 3 2 3 2 2" xfId="27160" xr:uid="{00000000-0005-0000-0000-0000186A0000}"/>
    <cellStyle name="Normal 340 3 2 3 3" xfId="27161" xr:uid="{00000000-0005-0000-0000-0000196A0000}"/>
    <cellStyle name="Normal 340 3 2 4" xfId="27162" xr:uid="{00000000-0005-0000-0000-00001A6A0000}"/>
    <cellStyle name="Normal 340 3 3" xfId="27163" xr:uid="{00000000-0005-0000-0000-00001B6A0000}"/>
    <cellStyle name="Normal 340 3 3 2" xfId="27164" xr:uid="{00000000-0005-0000-0000-00001C6A0000}"/>
    <cellStyle name="Normal 340 3 3 2 2" xfId="27165" xr:uid="{00000000-0005-0000-0000-00001D6A0000}"/>
    <cellStyle name="Normal 340 3 3 3" xfId="27166" xr:uid="{00000000-0005-0000-0000-00001E6A0000}"/>
    <cellStyle name="Normal 340 3 4" xfId="27167" xr:uid="{00000000-0005-0000-0000-00001F6A0000}"/>
    <cellStyle name="Normal 340 3 4 2" xfId="27168" xr:uid="{00000000-0005-0000-0000-0000206A0000}"/>
    <cellStyle name="Normal 340 3 4 2 2" xfId="27169" xr:uid="{00000000-0005-0000-0000-0000216A0000}"/>
    <cellStyle name="Normal 340 3 4 3" xfId="27170" xr:uid="{00000000-0005-0000-0000-0000226A0000}"/>
    <cellStyle name="Normal 340 3 5" xfId="27171" xr:uid="{00000000-0005-0000-0000-0000236A0000}"/>
    <cellStyle name="Normal 340 3 5 2" xfId="27172" xr:uid="{00000000-0005-0000-0000-0000246A0000}"/>
    <cellStyle name="Normal 340 3 5 2 2" xfId="27173" xr:uid="{00000000-0005-0000-0000-0000256A0000}"/>
    <cellStyle name="Normal 340 3 5 3" xfId="27174" xr:uid="{00000000-0005-0000-0000-0000266A0000}"/>
    <cellStyle name="Normal 340 3 6" xfId="27175" xr:uid="{00000000-0005-0000-0000-0000276A0000}"/>
    <cellStyle name="Normal 340 4" xfId="27176" xr:uid="{00000000-0005-0000-0000-0000286A0000}"/>
    <cellStyle name="Normal 340 4 2" xfId="27177" xr:uid="{00000000-0005-0000-0000-0000296A0000}"/>
    <cellStyle name="Normal 340 4 2 2" xfId="27178" xr:uid="{00000000-0005-0000-0000-00002A6A0000}"/>
    <cellStyle name="Normal 340 4 3" xfId="27179" xr:uid="{00000000-0005-0000-0000-00002B6A0000}"/>
    <cellStyle name="Normal 340 5" xfId="27180" xr:uid="{00000000-0005-0000-0000-00002C6A0000}"/>
    <cellStyle name="Normal 340 5 2" xfId="27181" xr:uid="{00000000-0005-0000-0000-00002D6A0000}"/>
    <cellStyle name="Normal 340 5 2 2" xfId="27182" xr:uid="{00000000-0005-0000-0000-00002E6A0000}"/>
    <cellStyle name="Normal 340 5 3" xfId="27183" xr:uid="{00000000-0005-0000-0000-00002F6A0000}"/>
    <cellStyle name="Normal 340 6" xfId="27184" xr:uid="{00000000-0005-0000-0000-0000306A0000}"/>
    <cellStyle name="Normal 340 6 2" xfId="27185" xr:uid="{00000000-0005-0000-0000-0000316A0000}"/>
    <cellStyle name="Normal 340 6 2 2" xfId="27186" xr:uid="{00000000-0005-0000-0000-0000326A0000}"/>
    <cellStyle name="Normal 340 6 3" xfId="27187" xr:uid="{00000000-0005-0000-0000-0000336A0000}"/>
    <cellStyle name="Normal 340 7" xfId="27188" xr:uid="{00000000-0005-0000-0000-0000346A0000}"/>
    <cellStyle name="Normal 341" xfId="27189" xr:uid="{00000000-0005-0000-0000-0000356A0000}"/>
    <cellStyle name="Normal 341 2" xfId="27190" xr:uid="{00000000-0005-0000-0000-0000366A0000}"/>
    <cellStyle name="Normal 341 2 2" xfId="27191" xr:uid="{00000000-0005-0000-0000-0000376A0000}"/>
    <cellStyle name="Normal 341 2 2 2" xfId="27192" xr:uid="{00000000-0005-0000-0000-0000386A0000}"/>
    <cellStyle name="Normal 341 2 3" xfId="27193" xr:uid="{00000000-0005-0000-0000-0000396A0000}"/>
    <cellStyle name="Normal 341 2 3 2" xfId="27194" xr:uid="{00000000-0005-0000-0000-00003A6A0000}"/>
    <cellStyle name="Normal 341 2 3 2 2" xfId="27195" xr:uid="{00000000-0005-0000-0000-00003B6A0000}"/>
    <cellStyle name="Normal 341 2 3 3" xfId="27196" xr:uid="{00000000-0005-0000-0000-00003C6A0000}"/>
    <cellStyle name="Normal 341 2 4" xfId="27197" xr:uid="{00000000-0005-0000-0000-00003D6A0000}"/>
    <cellStyle name="Normal 341 2 4 2" xfId="27198" xr:uid="{00000000-0005-0000-0000-00003E6A0000}"/>
    <cellStyle name="Normal 341 2 4 2 2" xfId="27199" xr:uid="{00000000-0005-0000-0000-00003F6A0000}"/>
    <cellStyle name="Normal 341 2 4 3" xfId="27200" xr:uid="{00000000-0005-0000-0000-0000406A0000}"/>
    <cellStyle name="Normal 341 2 5" xfId="27201" xr:uid="{00000000-0005-0000-0000-0000416A0000}"/>
    <cellStyle name="Normal 341 3" xfId="27202" xr:uid="{00000000-0005-0000-0000-0000426A0000}"/>
    <cellStyle name="Normal 341 3 2" xfId="27203" xr:uid="{00000000-0005-0000-0000-0000436A0000}"/>
    <cellStyle name="Normal 341 3 2 2" xfId="27204" xr:uid="{00000000-0005-0000-0000-0000446A0000}"/>
    <cellStyle name="Normal 341 3 2 2 2" xfId="27205" xr:uid="{00000000-0005-0000-0000-0000456A0000}"/>
    <cellStyle name="Normal 341 3 2 3" xfId="27206" xr:uid="{00000000-0005-0000-0000-0000466A0000}"/>
    <cellStyle name="Normal 341 3 2 3 2" xfId="27207" xr:uid="{00000000-0005-0000-0000-0000476A0000}"/>
    <cellStyle name="Normal 341 3 2 3 2 2" xfId="27208" xr:uid="{00000000-0005-0000-0000-0000486A0000}"/>
    <cellStyle name="Normal 341 3 2 3 3" xfId="27209" xr:uid="{00000000-0005-0000-0000-0000496A0000}"/>
    <cellStyle name="Normal 341 3 2 4" xfId="27210" xr:uid="{00000000-0005-0000-0000-00004A6A0000}"/>
    <cellStyle name="Normal 341 3 3" xfId="27211" xr:uid="{00000000-0005-0000-0000-00004B6A0000}"/>
    <cellStyle name="Normal 341 3 3 2" xfId="27212" xr:uid="{00000000-0005-0000-0000-00004C6A0000}"/>
    <cellStyle name="Normal 341 3 3 2 2" xfId="27213" xr:uid="{00000000-0005-0000-0000-00004D6A0000}"/>
    <cellStyle name="Normal 341 3 3 3" xfId="27214" xr:uid="{00000000-0005-0000-0000-00004E6A0000}"/>
    <cellStyle name="Normal 341 3 4" xfId="27215" xr:uid="{00000000-0005-0000-0000-00004F6A0000}"/>
    <cellStyle name="Normal 341 3 4 2" xfId="27216" xr:uid="{00000000-0005-0000-0000-0000506A0000}"/>
    <cellStyle name="Normal 341 3 4 2 2" xfId="27217" xr:uid="{00000000-0005-0000-0000-0000516A0000}"/>
    <cellStyle name="Normal 341 3 4 3" xfId="27218" xr:uid="{00000000-0005-0000-0000-0000526A0000}"/>
    <cellStyle name="Normal 341 3 5" xfId="27219" xr:uid="{00000000-0005-0000-0000-0000536A0000}"/>
    <cellStyle name="Normal 341 3 5 2" xfId="27220" xr:uid="{00000000-0005-0000-0000-0000546A0000}"/>
    <cellStyle name="Normal 341 3 5 2 2" xfId="27221" xr:uid="{00000000-0005-0000-0000-0000556A0000}"/>
    <cellStyle name="Normal 341 3 5 3" xfId="27222" xr:uid="{00000000-0005-0000-0000-0000566A0000}"/>
    <cellStyle name="Normal 341 3 6" xfId="27223" xr:uid="{00000000-0005-0000-0000-0000576A0000}"/>
    <cellStyle name="Normal 341 4" xfId="27224" xr:uid="{00000000-0005-0000-0000-0000586A0000}"/>
    <cellStyle name="Normal 341 4 2" xfId="27225" xr:uid="{00000000-0005-0000-0000-0000596A0000}"/>
    <cellStyle name="Normal 341 4 2 2" xfId="27226" xr:uid="{00000000-0005-0000-0000-00005A6A0000}"/>
    <cellStyle name="Normal 341 4 3" xfId="27227" xr:uid="{00000000-0005-0000-0000-00005B6A0000}"/>
    <cellStyle name="Normal 341 5" xfId="27228" xr:uid="{00000000-0005-0000-0000-00005C6A0000}"/>
    <cellStyle name="Normal 341 5 2" xfId="27229" xr:uid="{00000000-0005-0000-0000-00005D6A0000}"/>
    <cellStyle name="Normal 341 5 2 2" xfId="27230" xr:uid="{00000000-0005-0000-0000-00005E6A0000}"/>
    <cellStyle name="Normal 341 5 3" xfId="27231" xr:uid="{00000000-0005-0000-0000-00005F6A0000}"/>
    <cellStyle name="Normal 341 6" xfId="27232" xr:uid="{00000000-0005-0000-0000-0000606A0000}"/>
    <cellStyle name="Normal 341 6 2" xfId="27233" xr:uid="{00000000-0005-0000-0000-0000616A0000}"/>
    <cellStyle name="Normal 341 6 2 2" xfId="27234" xr:uid="{00000000-0005-0000-0000-0000626A0000}"/>
    <cellStyle name="Normal 341 6 3" xfId="27235" xr:uid="{00000000-0005-0000-0000-0000636A0000}"/>
    <cellStyle name="Normal 341 7" xfId="27236" xr:uid="{00000000-0005-0000-0000-0000646A0000}"/>
    <cellStyle name="Normal 342" xfId="27237" xr:uid="{00000000-0005-0000-0000-0000656A0000}"/>
    <cellStyle name="Normal 342 2" xfId="27238" xr:uid="{00000000-0005-0000-0000-0000666A0000}"/>
    <cellStyle name="Normal 342 2 2" xfId="27239" xr:uid="{00000000-0005-0000-0000-0000676A0000}"/>
    <cellStyle name="Normal 342 2 2 2" xfId="27240" xr:uid="{00000000-0005-0000-0000-0000686A0000}"/>
    <cellStyle name="Normal 342 2 3" xfId="27241" xr:uid="{00000000-0005-0000-0000-0000696A0000}"/>
    <cellStyle name="Normal 342 2 3 2" xfId="27242" xr:uid="{00000000-0005-0000-0000-00006A6A0000}"/>
    <cellStyle name="Normal 342 2 3 2 2" xfId="27243" xr:uid="{00000000-0005-0000-0000-00006B6A0000}"/>
    <cellStyle name="Normal 342 2 3 3" xfId="27244" xr:uid="{00000000-0005-0000-0000-00006C6A0000}"/>
    <cellStyle name="Normal 342 2 4" xfId="27245" xr:uid="{00000000-0005-0000-0000-00006D6A0000}"/>
    <cellStyle name="Normal 342 2 4 2" xfId="27246" xr:uid="{00000000-0005-0000-0000-00006E6A0000}"/>
    <cellStyle name="Normal 342 2 4 2 2" xfId="27247" xr:uid="{00000000-0005-0000-0000-00006F6A0000}"/>
    <cellStyle name="Normal 342 2 4 3" xfId="27248" xr:uid="{00000000-0005-0000-0000-0000706A0000}"/>
    <cellStyle name="Normal 342 2 5" xfId="27249" xr:uid="{00000000-0005-0000-0000-0000716A0000}"/>
    <cellStyle name="Normal 342 3" xfId="27250" xr:uid="{00000000-0005-0000-0000-0000726A0000}"/>
    <cellStyle name="Normal 342 3 2" xfId="27251" xr:uid="{00000000-0005-0000-0000-0000736A0000}"/>
    <cellStyle name="Normal 342 3 2 2" xfId="27252" xr:uid="{00000000-0005-0000-0000-0000746A0000}"/>
    <cellStyle name="Normal 342 3 2 2 2" xfId="27253" xr:uid="{00000000-0005-0000-0000-0000756A0000}"/>
    <cellStyle name="Normal 342 3 2 3" xfId="27254" xr:uid="{00000000-0005-0000-0000-0000766A0000}"/>
    <cellStyle name="Normal 342 3 2 3 2" xfId="27255" xr:uid="{00000000-0005-0000-0000-0000776A0000}"/>
    <cellStyle name="Normal 342 3 2 3 2 2" xfId="27256" xr:uid="{00000000-0005-0000-0000-0000786A0000}"/>
    <cellStyle name="Normal 342 3 2 3 3" xfId="27257" xr:uid="{00000000-0005-0000-0000-0000796A0000}"/>
    <cellStyle name="Normal 342 3 2 4" xfId="27258" xr:uid="{00000000-0005-0000-0000-00007A6A0000}"/>
    <cellStyle name="Normal 342 3 3" xfId="27259" xr:uid="{00000000-0005-0000-0000-00007B6A0000}"/>
    <cellStyle name="Normal 342 3 3 2" xfId="27260" xr:uid="{00000000-0005-0000-0000-00007C6A0000}"/>
    <cellStyle name="Normal 342 3 3 2 2" xfId="27261" xr:uid="{00000000-0005-0000-0000-00007D6A0000}"/>
    <cellStyle name="Normal 342 3 3 3" xfId="27262" xr:uid="{00000000-0005-0000-0000-00007E6A0000}"/>
    <cellStyle name="Normal 342 3 4" xfId="27263" xr:uid="{00000000-0005-0000-0000-00007F6A0000}"/>
    <cellStyle name="Normal 342 3 4 2" xfId="27264" xr:uid="{00000000-0005-0000-0000-0000806A0000}"/>
    <cellStyle name="Normal 342 3 4 2 2" xfId="27265" xr:uid="{00000000-0005-0000-0000-0000816A0000}"/>
    <cellStyle name="Normal 342 3 4 3" xfId="27266" xr:uid="{00000000-0005-0000-0000-0000826A0000}"/>
    <cellStyle name="Normal 342 3 5" xfId="27267" xr:uid="{00000000-0005-0000-0000-0000836A0000}"/>
    <cellStyle name="Normal 342 3 5 2" xfId="27268" xr:uid="{00000000-0005-0000-0000-0000846A0000}"/>
    <cellStyle name="Normal 342 3 5 2 2" xfId="27269" xr:uid="{00000000-0005-0000-0000-0000856A0000}"/>
    <cellStyle name="Normal 342 3 5 3" xfId="27270" xr:uid="{00000000-0005-0000-0000-0000866A0000}"/>
    <cellStyle name="Normal 342 3 6" xfId="27271" xr:uid="{00000000-0005-0000-0000-0000876A0000}"/>
    <cellStyle name="Normal 342 4" xfId="27272" xr:uid="{00000000-0005-0000-0000-0000886A0000}"/>
    <cellStyle name="Normal 342 4 2" xfId="27273" xr:uid="{00000000-0005-0000-0000-0000896A0000}"/>
    <cellStyle name="Normal 342 4 2 2" xfId="27274" xr:uid="{00000000-0005-0000-0000-00008A6A0000}"/>
    <cellStyle name="Normal 342 4 3" xfId="27275" xr:uid="{00000000-0005-0000-0000-00008B6A0000}"/>
    <cellStyle name="Normal 342 5" xfId="27276" xr:uid="{00000000-0005-0000-0000-00008C6A0000}"/>
    <cellStyle name="Normal 342 5 2" xfId="27277" xr:uid="{00000000-0005-0000-0000-00008D6A0000}"/>
    <cellStyle name="Normal 342 5 2 2" xfId="27278" xr:uid="{00000000-0005-0000-0000-00008E6A0000}"/>
    <cellStyle name="Normal 342 5 3" xfId="27279" xr:uid="{00000000-0005-0000-0000-00008F6A0000}"/>
    <cellStyle name="Normal 342 6" xfId="27280" xr:uid="{00000000-0005-0000-0000-0000906A0000}"/>
    <cellStyle name="Normal 342 6 2" xfId="27281" xr:uid="{00000000-0005-0000-0000-0000916A0000}"/>
    <cellStyle name="Normal 342 6 2 2" xfId="27282" xr:uid="{00000000-0005-0000-0000-0000926A0000}"/>
    <cellStyle name="Normal 342 6 3" xfId="27283" xr:uid="{00000000-0005-0000-0000-0000936A0000}"/>
    <cellStyle name="Normal 342 7" xfId="27284" xr:uid="{00000000-0005-0000-0000-0000946A0000}"/>
    <cellStyle name="Normal 343" xfId="27285" xr:uid="{00000000-0005-0000-0000-0000956A0000}"/>
    <cellStyle name="Normal 343 2" xfId="27286" xr:uid="{00000000-0005-0000-0000-0000966A0000}"/>
    <cellStyle name="Normal 343 2 2" xfId="27287" xr:uid="{00000000-0005-0000-0000-0000976A0000}"/>
    <cellStyle name="Normal 343 2 2 2" xfId="27288" xr:uid="{00000000-0005-0000-0000-0000986A0000}"/>
    <cellStyle name="Normal 343 2 3" xfId="27289" xr:uid="{00000000-0005-0000-0000-0000996A0000}"/>
    <cellStyle name="Normal 343 2 3 2" xfId="27290" xr:uid="{00000000-0005-0000-0000-00009A6A0000}"/>
    <cellStyle name="Normal 343 2 3 2 2" xfId="27291" xr:uid="{00000000-0005-0000-0000-00009B6A0000}"/>
    <cellStyle name="Normal 343 2 3 3" xfId="27292" xr:uid="{00000000-0005-0000-0000-00009C6A0000}"/>
    <cellStyle name="Normal 343 2 4" xfId="27293" xr:uid="{00000000-0005-0000-0000-00009D6A0000}"/>
    <cellStyle name="Normal 343 2 4 2" xfId="27294" xr:uid="{00000000-0005-0000-0000-00009E6A0000}"/>
    <cellStyle name="Normal 343 2 4 2 2" xfId="27295" xr:uid="{00000000-0005-0000-0000-00009F6A0000}"/>
    <cellStyle name="Normal 343 2 4 3" xfId="27296" xr:uid="{00000000-0005-0000-0000-0000A06A0000}"/>
    <cellStyle name="Normal 343 2 5" xfId="27297" xr:uid="{00000000-0005-0000-0000-0000A16A0000}"/>
    <cellStyle name="Normal 343 3" xfId="27298" xr:uid="{00000000-0005-0000-0000-0000A26A0000}"/>
    <cellStyle name="Normal 343 3 2" xfId="27299" xr:uid="{00000000-0005-0000-0000-0000A36A0000}"/>
    <cellStyle name="Normal 343 3 2 2" xfId="27300" xr:uid="{00000000-0005-0000-0000-0000A46A0000}"/>
    <cellStyle name="Normal 343 3 2 2 2" xfId="27301" xr:uid="{00000000-0005-0000-0000-0000A56A0000}"/>
    <cellStyle name="Normal 343 3 2 3" xfId="27302" xr:uid="{00000000-0005-0000-0000-0000A66A0000}"/>
    <cellStyle name="Normal 343 3 2 3 2" xfId="27303" xr:uid="{00000000-0005-0000-0000-0000A76A0000}"/>
    <cellStyle name="Normal 343 3 2 3 2 2" xfId="27304" xr:uid="{00000000-0005-0000-0000-0000A86A0000}"/>
    <cellStyle name="Normal 343 3 2 3 3" xfId="27305" xr:uid="{00000000-0005-0000-0000-0000A96A0000}"/>
    <cellStyle name="Normal 343 3 2 4" xfId="27306" xr:uid="{00000000-0005-0000-0000-0000AA6A0000}"/>
    <cellStyle name="Normal 343 3 3" xfId="27307" xr:uid="{00000000-0005-0000-0000-0000AB6A0000}"/>
    <cellStyle name="Normal 343 3 3 2" xfId="27308" xr:uid="{00000000-0005-0000-0000-0000AC6A0000}"/>
    <cellStyle name="Normal 343 3 3 2 2" xfId="27309" xr:uid="{00000000-0005-0000-0000-0000AD6A0000}"/>
    <cellStyle name="Normal 343 3 3 3" xfId="27310" xr:uid="{00000000-0005-0000-0000-0000AE6A0000}"/>
    <cellStyle name="Normal 343 3 4" xfId="27311" xr:uid="{00000000-0005-0000-0000-0000AF6A0000}"/>
    <cellStyle name="Normal 343 3 4 2" xfId="27312" xr:uid="{00000000-0005-0000-0000-0000B06A0000}"/>
    <cellStyle name="Normal 343 3 4 2 2" xfId="27313" xr:uid="{00000000-0005-0000-0000-0000B16A0000}"/>
    <cellStyle name="Normal 343 3 4 3" xfId="27314" xr:uid="{00000000-0005-0000-0000-0000B26A0000}"/>
    <cellStyle name="Normal 343 3 5" xfId="27315" xr:uid="{00000000-0005-0000-0000-0000B36A0000}"/>
    <cellStyle name="Normal 343 3 5 2" xfId="27316" xr:uid="{00000000-0005-0000-0000-0000B46A0000}"/>
    <cellStyle name="Normal 343 3 5 2 2" xfId="27317" xr:uid="{00000000-0005-0000-0000-0000B56A0000}"/>
    <cellStyle name="Normal 343 3 5 3" xfId="27318" xr:uid="{00000000-0005-0000-0000-0000B66A0000}"/>
    <cellStyle name="Normal 343 3 6" xfId="27319" xr:uid="{00000000-0005-0000-0000-0000B76A0000}"/>
    <cellStyle name="Normal 343 4" xfId="27320" xr:uid="{00000000-0005-0000-0000-0000B86A0000}"/>
    <cellStyle name="Normal 343 4 2" xfId="27321" xr:uid="{00000000-0005-0000-0000-0000B96A0000}"/>
    <cellStyle name="Normal 343 4 2 2" xfId="27322" xr:uid="{00000000-0005-0000-0000-0000BA6A0000}"/>
    <cellStyle name="Normal 343 4 3" xfId="27323" xr:uid="{00000000-0005-0000-0000-0000BB6A0000}"/>
    <cellStyle name="Normal 343 5" xfId="27324" xr:uid="{00000000-0005-0000-0000-0000BC6A0000}"/>
    <cellStyle name="Normal 343 5 2" xfId="27325" xr:uid="{00000000-0005-0000-0000-0000BD6A0000}"/>
    <cellStyle name="Normal 343 5 2 2" xfId="27326" xr:uid="{00000000-0005-0000-0000-0000BE6A0000}"/>
    <cellStyle name="Normal 343 5 3" xfId="27327" xr:uid="{00000000-0005-0000-0000-0000BF6A0000}"/>
    <cellStyle name="Normal 343 6" xfId="27328" xr:uid="{00000000-0005-0000-0000-0000C06A0000}"/>
    <cellStyle name="Normal 343 6 2" xfId="27329" xr:uid="{00000000-0005-0000-0000-0000C16A0000}"/>
    <cellStyle name="Normal 343 6 2 2" xfId="27330" xr:uid="{00000000-0005-0000-0000-0000C26A0000}"/>
    <cellStyle name="Normal 343 6 3" xfId="27331" xr:uid="{00000000-0005-0000-0000-0000C36A0000}"/>
    <cellStyle name="Normal 343 7" xfId="27332" xr:uid="{00000000-0005-0000-0000-0000C46A0000}"/>
    <cellStyle name="Normal 344" xfId="27333" xr:uid="{00000000-0005-0000-0000-0000C56A0000}"/>
    <cellStyle name="Normal 344 2" xfId="27334" xr:uid="{00000000-0005-0000-0000-0000C66A0000}"/>
    <cellStyle name="Normal 344 2 2" xfId="27335" xr:uid="{00000000-0005-0000-0000-0000C76A0000}"/>
    <cellStyle name="Normal 344 2 2 2" xfId="27336" xr:uid="{00000000-0005-0000-0000-0000C86A0000}"/>
    <cellStyle name="Normal 344 2 3" xfId="27337" xr:uid="{00000000-0005-0000-0000-0000C96A0000}"/>
    <cellStyle name="Normal 344 2 3 2" xfId="27338" xr:uid="{00000000-0005-0000-0000-0000CA6A0000}"/>
    <cellStyle name="Normal 344 2 3 2 2" xfId="27339" xr:uid="{00000000-0005-0000-0000-0000CB6A0000}"/>
    <cellStyle name="Normal 344 2 3 3" xfId="27340" xr:uid="{00000000-0005-0000-0000-0000CC6A0000}"/>
    <cellStyle name="Normal 344 2 4" xfId="27341" xr:uid="{00000000-0005-0000-0000-0000CD6A0000}"/>
    <cellStyle name="Normal 344 2 4 2" xfId="27342" xr:uid="{00000000-0005-0000-0000-0000CE6A0000}"/>
    <cellStyle name="Normal 344 2 4 2 2" xfId="27343" xr:uid="{00000000-0005-0000-0000-0000CF6A0000}"/>
    <cellStyle name="Normal 344 2 4 3" xfId="27344" xr:uid="{00000000-0005-0000-0000-0000D06A0000}"/>
    <cellStyle name="Normal 344 2 5" xfId="27345" xr:uid="{00000000-0005-0000-0000-0000D16A0000}"/>
    <cellStyle name="Normal 344 3" xfId="27346" xr:uid="{00000000-0005-0000-0000-0000D26A0000}"/>
    <cellStyle name="Normal 344 3 2" xfId="27347" xr:uid="{00000000-0005-0000-0000-0000D36A0000}"/>
    <cellStyle name="Normal 344 3 2 2" xfId="27348" xr:uid="{00000000-0005-0000-0000-0000D46A0000}"/>
    <cellStyle name="Normal 344 3 2 2 2" xfId="27349" xr:uid="{00000000-0005-0000-0000-0000D56A0000}"/>
    <cellStyle name="Normal 344 3 2 3" xfId="27350" xr:uid="{00000000-0005-0000-0000-0000D66A0000}"/>
    <cellStyle name="Normal 344 3 2 3 2" xfId="27351" xr:uid="{00000000-0005-0000-0000-0000D76A0000}"/>
    <cellStyle name="Normal 344 3 2 3 2 2" xfId="27352" xr:uid="{00000000-0005-0000-0000-0000D86A0000}"/>
    <cellStyle name="Normal 344 3 2 3 3" xfId="27353" xr:uid="{00000000-0005-0000-0000-0000D96A0000}"/>
    <cellStyle name="Normal 344 3 2 4" xfId="27354" xr:uid="{00000000-0005-0000-0000-0000DA6A0000}"/>
    <cellStyle name="Normal 344 3 3" xfId="27355" xr:uid="{00000000-0005-0000-0000-0000DB6A0000}"/>
    <cellStyle name="Normal 344 3 3 2" xfId="27356" xr:uid="{00000000-0005-0000-0000-0000DC6A0000}"/>
    <cellStyle name="Normal 344 3 3 2 2" xfId="27357" xr:uid="{00000000-0005-0000-0000-0000DD6A0000}"/>
    <cellStyle name="Normal 344 3 3 3" xfId="27358" xr:uid="{00000000-0005-0000-0000-0000DE6A0000}"/>
    <cellStyle name="Normal 344 3 4" xfId="27359" xr:uid="{00000000-0005-0000-0000-0000DF6A0000}"/>
    <cellStyle name="Normal 344 3 4 2" xfId="27360" xr:uid="{00000000-0005-0000-0000-0000E06A0000}"/>
    <cellStyle name="Normal 344 3 4 2 2" xfId="27361" xr:uid="{00000000-0005-0000-0000-0000E16A0000}"/>
    <cellStyle name="Normal 344 3 4 3" xfId="27362" xr:uid="{00000000-0005-0000-0000-0000E26A0000}"/>
    <cellStyle name="Normal 344 3 5" xfId="27363" xr:uid="{00000000-0005-0000-0000-0000E36A0000}"/>
    <cellStyle name="Normal 344 3 5 2" xfId="27364" xr:uid="{00000000-0005-0000-0000-0000E46A0000}"/>
    <cellStyle name="Normal 344 3 5 2 2" xfId="27365" xr:uid="{00000000-0005-0000-0000-0000E56A0000}"/>
    <cellStyle name="Normal 344 3 5 3" xfId="27366" xr:uid="{00000000-0005-0000-0000-0000E66A0000}"/>
    <cellStyle name="Normal 344 3 6" xfId="27367" xr:uid="{00000000-0005-0000-0000-0000E76A0000}"/>
    <cellStyle name="Normal 344 4" xfId="27368" xr:uid="{00000000-0005-0000-0000-0000E86A0000}"/>
    <cellStyle name="Normal 344 4 2" xfId="27369" xr:uid="{00000000-0005-0000-0000-0000E96A0000}"/>
    <cellStyle name="Normal 344 4 2 2" xfId="27370" xr:uid="{00000000-0005-0000-0000-0000EA6A0000}"/>
    <cellStyle name="Normal 344 4 3" xfId="27371" xr:uid="{00000000-0005-0000-0000-0000EB6A0000}"/>
    <cellStyle name="Normal 344 5" xfId="27372" xr:uid="{00000000-0005-0000-0000-0000EC6A0000}"/>
    <cellStyle name="Normal 344 5 2" xfId="27373" xr:uid="{00000000-0005-0000-0000-0000ED6A0000}"/>
    <cellStyle name="Normal 344 5 2 2" xfId="27374" xr:uid="{00000000-0005-0000-0000-0000EE6A0000}"/>
    <cellStyle name="Normal 344 5 3" xfId="27375" xr:uid="{00000000-0005-0000-0000-0000EF6A0000}"/>
    <cellStyle name="Normal 344 6" xfId="27376" xr:uid="{00000000-0005-0000-0000-0000F06A0000}"/>
    <cellStyle name="Normal 344 6 2" xfId="27377" xr:uid="{00000000-0005-0000-0000-0000F16A0000}"/>
    <cellStyle name="Normal 344 6 2 2" xfId="27378" xr:uid="{00000000-0005-0000-0000-0000F26A0000}"/>
    <cellStyle name="Normal 344 6 3" xfId="27379" xr:uid="{00000000-0005-0000-0000-0000F36A0000}"/>
    <cellStyle name="Normal 344 7" xfId="27380" xr:uid="{00000000-0005-0000-0000-0000F46A0000}"/>
    <cellStyle name="Normal 345" xfId="27381" xr:uid="{00000000-0005-0000-0000-0000F56A0000}"/>
    <cellStyle name="Normal 345 2" xfId="27382" xr:uid="{00000000-0005-0000-0000-0000F66A0000}"/>
    <cellStyle name="Normal 345 2 2" xfId="27383" xr:uid="{00000000-0005-0000-0000-0000F76A0000}"/>
    <cellStyle name="Normal 345 2 2 2" xfId="27384" xr:uid="{00000000-0005-0000-0000-0000F86A0000}"/>
    <cellStyle name="Normal 345 2 3" xfId="27385" xr:uid="{00000000-0005-0000-0000-0000F96A0000}"/>
    <cellStyle name="Normal 345 2 3 2" xfId="27386" xr:uid="{00000000-0005-0000-0000-0000FA6A0000}"/>
    <cellStyle name="Normal 345 2 3 2 2" xfId="27387" xr:uid="{00000000-0005-0000-0000-0000FB6A0000}"/>
    <cellStyle name="Normal 345 2 3 3" xfId="27388" xr:uid="{00000000-0005-0000-0000-0000FC6A0000}"/>
    <cellStyle name="Normal 345 2 4" xfId="27389" xr:uid="{00000000-0005-0000-0000-0000FD6A0000}"/>
    <cellStyle name="Normal 345 2 4 2" xfId="27390" xr:uid="{00000000-0005-0000-0000-0000FE6A0000}"/>
    <cellStyle name="Normal 345 2 4 2 2" xfId="27391" xr:uid="{00000000-0005-0000-0000-0000FF6A0000}"/>
    <cellStyle name="Normal 345 2 4 3" xfId="27392" xr:uid="{00000000-0005-0000-0000-0000006B0000}"/>
    <cellStyle name="Normal 345 2 5" xfId="27393" xr:uid="{00000000-0005-0000-0000-0000016B0000}"/>
    <cellStyle name="Normal 345 3" xfId="27394" xr:uid="{00000000-0005-0000-0000-0000026B0000}"/>
    <cellStyle name="Normal 345 3 2" xfId="27395" xr:uid="{00000000-0005-0000-0000-0000036B0000}"/>
    <cellStyle name="Normal 345 3 2 2" xfId="27396" xr:uid="{00000000-0005-0000-0000-0000046B0000}"/>
    <cellStyle name="Normal 345 3 2 2 2" xfId="27397" xr:uid="{00000000-0005-0000-0000-0000056B0000}"/>
    <cellStyle name="Normal 345 3 2 3" xfId="27398" xr:uid="{00000000-0005-0000-0000-0000066B0000}"/>
    <cellStyle name="Normal 345 3 2 3 2" xfId="27399" xr:uid="{00000000-0005-0000-0000-0000076B0000}"/>
    <cellStyle name="Normal 345 3 2 3 2 2" xfId="27400" xr:uid="{00000000-0005-0000-0000-0000086B0000}"/>
    <cellStyle name="Normal 345 3 2 3 3" xfId="27401" xr:uid="{00000000-0005-0000-0000-0000096B0000}"/>
    <cellStyle name="Normal 345 3 2 4" xfId="27402" xr:uid="{00000000-0005-0000-0000-00000A6B0000}"/>
    <cellStyle name="Normal 345 3 3" xfId="27403" xr:uid="{00000000-0005-0000-0000-00000B6B0000}"/>
    <cellStyle name="Normal 345 3 3 2" xfId="27404" xr:uid="{00000000-0005-0000-0000-00000C6B0000}"/>
    <cellStyle name="Normal 345 3 3 2 2" xfId="27405" xr:uid="{00000000-0005-0000-0000-00000D6B0000}"/>
    <cellStyle name="Normal 345 3 3 3" xfId="27406" xr:uid="{00000000-0005-0000-0000-00000E6B0000}"/>
    <cellStyle name="Normal 345 3 4" xfId="27407" xr:uid="{00000000-0005-0000-0000-00000F6B0000}"/>
    <cellStyle name="Normal 345 3 4 2" xfId="27408" xr:uid="{00000000-0005-0000-0000-0000106B0000}"/>
    <cellStyle name="Normal 345 3 4 2 2" xfId="27409" xr:uid="{00000000-0005-0000-0000-0000116B0000}"/>
    <cellStyle name="Normal 345 3 4 3" xfId="27410" xr:uid="{00000000-0005-0000-0000-0000126B0000}"/>
    <cellStyle name="Normal 345 3 5" xfId="27411" xr:uid="{00000000-0005-0000-0000-0000136B0000}"/>
    <cellStyle name="Normal 345 3 5 2" xfId="27412" xr:uid="{00000000-0005-0000-0000-0000146B0000}"/>
    <cellStyle name="Normal 345 3 5 2 2" xfId="27413" xr:uid="{00000000-0005-0000-0000-0000156B0000}"/>
    <cellStyle name="Normal 345 3 5 3" xfId="27414" xr:uid="{00000000-0005-0000-0000-0000166B0000}"/>
    <cellStyle name="Normal 345 3 6" xfId="27415" xr:uid="{00000000-0005-0000-0000-0000176B0000}"/>
    <cellStyle name="Normal 345 4" xfId="27416" xr:uid="{00000000-0005-0000-0000-0000186B0000}"/>
    <cellStyle name="Normal 345 4 2" xfId="27417" xr:uid="{00000000-0005-0000-0000-0000196B0000}"/>
    <cellStyle name="Normal 345 4 2 2" xfId="27418" xr:uid="{00000000-0005-0000-0000-00001A6B0000}"/>
    <cellStyle name="Normal 345 4 3" xfId="27419" xr:uid="{00000000-0005-0000-0000-00001B6B0000}"/>
    <cellStyle name="Normal 345 5" xfId="27420" xr:uid="{00000000-0005-0000-0000-00001C6B0000}"/>
    <cellStyle name="Normal 345 5 2" xfId="27421" xr:uid="{00000000-0005-0000-0000-00001D6B0000}"/>
    <cellStyle name="Normal 345 5 2 2" xfId="27422" xr:uid="{00000000-0005-0000-0000-00001E6B0000}"/>
    <cellStyle name="Normal 345 5 3" xfId="27423" xr:uid="{00000000-0005-0000-0000-00001F6B0000}"/>
    <cellStyle name="Normal 345 6" xfId="27424" xr:uid="{00000000-0005-0000-0000-0000206B0000}"/>
    <cellStyle name="Normal 345 6 2" xfId="27425" xr:uid="{00000000-0005-0000-0000-0000216B0000}"/>
    <cellStyle name="Normal 345 6 2 2" xfId="27426" xr:uid="{00000000-0005-0000-0000-0000226B0000}"/>
    <cellStyle name="Normal 345 6 3" xfId="27427" xr:uid="{00000000-0005-0000-0000-0000236B0000}"/>
    <cellStyle name="Normal 345 7" xfId="27428" xr:uid="{00000000-0005-0000-0000-0000246B0000}"/>
    <cellStyle name="Normal 346" xfId="27429" xr:uid="{00000000-0005-0000-0000-0000256B0000}"/>
    <cellStyle name="Normal 346 2" xfId="66" xr:uid="{00000000-0005-0000-0000-000042000000}"/>
    <cellStyle name="Normal 346 2 2" xfId="27430" xr:uid="{00000000-0005-0000-0000-0000266B0000}"/>
    <cellStyle name="Normal 346 2 2 2" xfId="27431" xr:uid="{00000000-0005-0000-0000-0000276B0000}"/>
    <cellStyle name="Normal 346 2 3" xfId="27432" xr:uid="{00000000-0005-0000-0000-0000286B0000}"/>
    <cellStyle name="Normal 346 2 3 2" xfId="27433" xr:uid="{00000000-0005-0000-0000-0000296B0000}"/>
    <cellStyle name="Normal 346 2 3 2 2" xfId="27434" xr:uid="{00000000-0005-0000-0000-00002A6B0000}"/>
    <cellStyle name="Normal 346 2 3 3" xfId="27435" xr:uid="{00000000-0005-0000-0000-00002B6B0000}"/>
    <cellStyle name="Normal 346 2 4" xfId="27436" xr:uid="{00000000-0005-0000-0000-00002C6B0000}"/>
    <cellStyle name="Normal 346 2 4 2" xfId="27437" xr:uid="{00000000-0005-0000-0000-00002D6B0000}"/>
    <cellStyle name="Normal 346 2 4 2 2" xfId="27438" xr:uid="{00000000-0005-0000-0000-00002E6B0000}"/>
    <cellStyle name="Normal 346 2 4 3" xfId="27439" xr:uid="{00000000-0005-0000-0000-00002F6B0000}"/>
    <cellStyle name="Normal 346 2 5" xfId="27440" xr:uid="{00000000-0005-0000-0000-0000306B0000}"/>
    <cellStyle name="Normal 346 3" xfId="27441" xr:uid="{00000000-0005-0000-0000-0000316B0000}"/>
    <cellStyle name="Normal 346 3 2" xfId="27442" xr:uid="{00000000-0005-0000-0000-0000326B0000}"/>
    <cellStyle name="Normal 346 3 2 2" xfId="27443" xr:uid="{00000000-0005-0000-0000-0000336B0000}"/>
    <cellStyle name="Normal 346 3 2 2 2" xfId="27444" xr:uid="{00000000-0005-0000-0000-0000346B0000}"/>
    <cellStyle name="Normal 346 3 2 3" xfId="27445" xr:uid="{00000000-0005-0000-0000-0000356B0000}"/>
    <cellStyle name="Normal 346 3 2 3 2" xfId="27446" xr:uid="{00000000-0005-0000-0000-0000366B0000}"/>
    <cellStyle name="Normal 346 3 2 3 2 2" xfId="27447" xr:uid="{00000000-0005-0000-0000-0000376B0000}"/>
    <cellStyle name="Normal 346 3 2 3 3" xfId="27448" xr:uid="{00000000-0005-0000-0000-0000386B0000}"/>
    <cellStyle name="Normal 346 3 2 4" xfId="27449" xr:uid="{00000000-0005-0000-0000-0000396B0000}"/>
    <cellStyle name="Normal 346 3 3" xfId="27450" xr:uid="{00000000-0005-0000-0000-00003A6B0000}"/>
    <cellStyle name="Normal 346 3 3 2" xfId="27451" xr:uid="{00000000-0005-0000-0000-00003B6B0000}"/>
    <cellStyle name="Normal 346 3 3 2 2" xfId="27452" xr:uid="{00000000-0005-0000-0000-00003C6B0000}"/>
    <cellStyle name="Normal 346 3 3 3" xfId="27453" xr:uid="{00000000-0005-0000-0000-00003D6B0000}"/>
    <cellStyle name="Normal 346 3 4" xfId="27454" xr:uid="{00000000-0005-0000-0000-00003E6B0000}"/>
    <cellStyle name="Normal 346 3 4 2" xfId="27455" xr:uid="{00000000-0005-0000-0000-00003F6B0000}"/>
    <cellStyle name="Normal 346 3 4 2 2" xfId="27456" xr:uid="{00000000-0005-0000-0000-0000406B0000}"/>
    <cellStyle name="Normal 346 3 4 3" xfId="27457" xr:uid="{00000000-0005-0000-0000-0000416B0000}"/>
    <cellStyle name="Normal 346 3 5" xfId="27458" xr:uid="{00000000-0005-0000-0000-0000426B0000}"/>
    <cellStyle name="Normal 346 3 5 2" xfId="27459" xr:uid="{00000000-0005-0000-0000-0000436B0000}"/>
    <cellStyle name="Normal 346 3 5 2 2" xfId="27460" xr:uid="{00000000-0005-0000-0000-0000446B0000}"/>
    <cellStyle name="Normal 346 3 5 3" xfId="27461" xr:uid="{00000000-0005-0000-0000-0000456B0000}"/>
    <cellStyle name="Normal 346 3 6" xfId="27462" xr:uid="{00000000-0005-0000-0000-0000466B0000}"/>
    <cellStyle name="Normal 346 4" xfId="27463" xr:uid="{00000000-0005-0000-0000-0000476B0000}"/>
    <cellStyle name="Normal 346 4 2" xfId="27464" xr:uid="{00000000-0005-0000-0000-0000486B0000}"/>
    <cellStyle name="Normal 346 4 2 2" xfId="27465" xr:uid="{00000000-0005-0000-0000-0000496B0000}"/>
    <cellStyle name="Normal 346 4 3" xfId="27466" xr:uid="{00000000-0005-0000-0000-00004A6B0000}"/>
    <cellStyle name="Normal 346 5" xfId="27467" xr:uid="{00000000-0005-0000-0000-00004B6B0000}"/>
    <cellStyle name="Normal 346 5 2" xfId="27468" xr:uid="{00000000-0005-0000-0000-00004C6B0000}"/>
    <cellStyle name="Normal 346 5 2 2" xfId="27469" xr:uid="{00000000-0005-0000-0000-00004D6B0000}"/>
    <cellStyle name="Normal 346 5 3" xfId="27470" xr:uid="{00000000-0005-0000-0000-00004E6B0000}"/>
    <cellStyle name="Normal 346 6" xfId="27471" xr:uid="{00000000-0005-0000-0000-00004F6B0000}"/>
    <cellStyle name="Normal 346 6 2" xfId="27472" xr:uid="{00000000-0005-0000-0000-0000506B0000}"/>
    <cellStyle name="Normal 346 6 2 2" xfId="27473" xr:uid="{00000000-0005-0000-0000-0000516B0000}"/>
    <cellStyle name="Normal 346 6 3" xfId="27474" xr:uid="{00000000-0005-0000-0000-0000526B0000}"/>
    <cellStyle name="Normal 346 7" xfId="27475" xr:uid="{00000000-0005-0000-0000-0000536B0000}"/>
    <cellStyle name="Normal 347" xfId="27476" xr:uid="{00000000-0005-0000-0000-0000546B0000}"/>
    <cellStyle name="Normal 347 2" xfId="27477" xr:uid="{00000000-0005-0000-0000-0000556B0000}"/>
    <cellStyle name="Normal 347 2 2" xfId="27478" xr:uid="{00000000-0005-0000-0000-0000566B0000}"/>
    <cellStyle name="Normal 347 2 2 2" xfId="27479" xr:uid="{00000000-0005-0000-0000-0000576B0000}"/>
    <cellStyle name="Normal 347 2 3" xfId="27480" xr:uid="{00000000-0005-0000-0000-0000586B0000}"/>
    <cellStyle name="Normal 347 2 3 2" xfId="27481" xr:uid="{00000000-0005-0000-0000-0000596B0000}"/>
    <cellStyle name="Normal 347 2 3 2 2" xfId="27482" xr:uid="{00000000-0005-0000-0000-00005A6B0000}"/>
    <cellStyle name="Normal 347 2 3 3" xfId="27483" xr:uid="{00000000-0005-0000-0000-00005B6B0000}"/>
    <cellStyle name="Normal 347 2 4" xfId="27484" xr:uid="{00000000-0005-0000-0000-00005C6B0000}"/>
    <cellStyle name="Normal 347 2 4 2" xfId="27485" xr:uid="{00000000-0005-0000-0000-00005D6B0000}"/>
    <cellStyle name="Normal 347 2 4 2 2" xfId="27486" xr:uid="{00000000-0005-0000-0000-00005E6B0000}"/>
    <cellStyle name="Normal 347 2 4 3" xfId="27487" xr:uid="{00000000-0005-0000-0000-00005F6B0000}"/>
    <cellStyle name="Normal 347 2 5" xfId="27488" xr:uid="{00000000-0005-0000-0000-0000606B0000}"/>
    <cellStyle name="Normal 347 3" xfId="27489" xr:uid="{00000000-0005-0000-0000-0000616B0000}"/>
    <cellStyle name="Normal 347 3 2" xfId="27490" xr:uid="{00000000-0005-0000-0000-0000626B0000}"/>
    <cellStyle name="Normal 347 3 2 2" xfId="27491" xr:uid="{00000000-0005-0000-0000-0000636B0000}"/>
    <cellStyle name="Normal 347 3 2 2 2" xfId="27492" xr:uid="{00000000-0005-0000-0000-0000646B0000}"/>
    <cellStyle name="Normal 347 3 2 3" xfId="27493" xr:uid="{00000000-0005-0000-0000-0000656B0000}"/>
    <cellStyle name="Normal 347 3 2 3 2" xfId="27494" xr:uid="{00000000-0005-0000-0000-0000666B0000}"/>
    <cellStyle name="Normal 347 3 2 3 2 2" xfId="27495" xr:uid="{00000000-0005-0000-0000-0000676B0000}"/>
    <cellStyle name="Normal 347 3 2 3 3" xfId="27496" xr:uid="{00000000-0005-0000-0000-0000686B0000}"/>
    <cellStyle name="Normal 347 3 2 4" xfId="27497" xr:uid="{00000000-0005-0000-0000-0000696B0000}"/>
    <cellStyle name="Normal 347 3 3" xfId="27498" xr:uid="{00000000-0005-0000-0000-00006A6B0000}"/>
    <cellStyle name="Normal 347 3 3 2" xfId="27499" xr:uid="{00000000-0005-0000-0000-00006B6B0000}"/>
    <cellStyle name="Normal 347 3 3 2 2" xfId="27500" xr:uid="{00000000-0005-0000-0000-00006C6B0000}"/>
    <cellStyle name="Normal 347 3 3 3" xfId="27501" xr:uid="{00000000-0005-0000-0000-00006D6B0000}"/>
    <cellStyle name="Normal 347 3 4" xfId="27502" xr:uid="{00000000-0005-0000-0000-00006E6B0000}"/>
    <cellStyle name="Normal 347 3 4 2" xfId="27503" xr:uid="{00000000-0005-0000-0000-00006F6B0000}"/>
    <cellStyle name="Normal 347 3 4 2 2" xfId="27504" xr:uid="{00000000-0005-0000-0000-0000706B0000}"/>
    <cellStyle name="Normal 347 3 4 3" xfId="27505" xr:uid="{00000000-0005-0000-0000-0000716B0000}"/>
    <cellStyle name="Normal 347 3 5" xfId="27506" xr:uid="{00000000-0005-0000-0000-0000726B0000}"/>
    <cellStyle name="Normal 347 3 5 2" xfId="27507" xr:uid="{00000000-0005-0000-0000-0000736B0000}"/>
    <cellStyle name="Normal 347 3 5 2 2" xfId="27508" xr:uid="{00000000-0005-0000-0000-0000746B0000}"/>
    <cellStyle name="Normal 347 3 5 3" xfId="27509" xr:uid="{00000000-0005-0000-0000-0000756B0000}"/>
    <cellStyle name="Normal 347 3 6" xfId="27510" xr:uid="{00000000-0005-0000-0000-0000766B0000}"/>
    <cellStyle name="Normal 347 4" xfId="27511" xr:uid="{00000000-0005-0000-0000-0000776B0000}"/>
    <cellStyle name="Normal 347 4 2" xfId="27512" xr:uid="{00000000-0005-0000-0000-0000786B0000}"/>
    <cellStyle name="Normal 347 4 2 2" xfId="27513" xr:uid="{00000000-0005-0000-0000-0000796B0000}"/>
    <cellStyle name="Normal 347 4 3" xfId="27514" xr:uid="{00000000-0005-0000-0000-00007A6B0000}"/>
    <cellStyle name="Normal 347 5" xfId="27515" xr:uid="{00000000-0005-0000-0000-00007B6B0000}"/>
    <cellStyle name="Normal 347 5 2" xfId="27516" xr:uid="{00000000-0005-0000-0000-00007C6B0000}"/>
    <cellStyle name="Normal 347 5 2 2" xfId="27517" xr:uid="{00000000-0005-0000-0000-00007D6B0000}"/>
    <cellStyle name="Normal 347 5 3" xfId="27518" xr:uid="{00000000-0005-0000-0000-00007E6B0000}"/>
    <cellStyle name="Normal 347 6" xfId="27519" xr:uid="{00000000-0005-0000-0000-00007F6B0000}"/>
    <cellStyle name="Normal 347 6 2" xfId="27520" xr:uid="{00000000-0005-0000-0000-0000806B0000}"/>
    <cellStyle name="Normal 347 6 2 2" xfId="27521" xr:uid="{00000000-0005-0000-0000-0000816B0000}"/>
    <cellStyle name="Normal 347 6 3" xfId="27522" xr:uid="{00000000-0005-0000-0000-0000826B0000}"/>
    <cellStyle name="Normal 347 7" xfId="27523" xr:uid="{00000000-0005-0000-0000-0000836B0000}"/>
    <cellStyle name="Normal 348" xfId="27524" xr:uid="{00000000-0005-0000-0000-0000846B0000}"/>
    <cellStyle name="Normal 348 2" xfId="67" xr:uid="{00000000-0005-0000-0000-000043000000}"/>
    <cellStyle name="Normal 348 2 2" xfId="27525" xr:uid="{00000000-0005-0000-0000-0000856B0000}"/>
    <cellStyle name="Normal 348 2 2 2" xfId="27526" xr:uid="{00000000-0005-0000-0000-0000866B0000}"/>
    <cellStyle name="Normal 348 2 3" xfId="27527" xr:uid="{00000000-0005-0000-0000-0000876B0000}"/>
    <cellStyle name="Normal 348 2 3 2" xfId="27528" xr:uid="{00000000-0005-0000-0000-0000886B0000}"/>
    <cellStyle name="Normal 348 2 3 2 2" xfId="27529" xr:uid="{00000000-0005-0000-0000-0000896B0000}"/>
    <cellStyle name="Normal 348 2 3 3" xfId="27530" xr:uid="{00000000-0005-0000-0000-00008A6B0000}"/>
    <cellStyle name="Normal 348 2 4" xfId="27531" xr:uid="{00000000-0005-0000-0000-00008B6B0000}"/>
    <cellStyle name="Normal 348 2 4 2" xfId="27532" xr:uid="{00000000-0005-0000-0000-00008C6B0000}"/>
    <cellStyle name="Normal 348 2 4 2 2" xfId="27533" xr:uid="{00000000-0005-0000-0000-00008D6B0000}"/>
    <cellStyle name="Normal 348 2 4 3" xfId="27534" xr:uid="{00000000-0005-0000-0000-00008E6B0000}"/>
    <cellStyle name="Normal 348 2 5" xfId="27535" xr:uid="{00000000-0005-0000-0000-00008F6B0000}"/>
    <cellStyle name="Normal 348 3" xfId="27536" xr:uid="{00000000-0005-0000-0000-0000906B0000}"/>
    <cellStyle name="Normal 348 3 2" xfId="27537" xr:uid="{00000000-0005-0000-0000-0000916B0000}"/>
    <cellStyle name="Normal 348 3 2 2" xfId="27538" xr:uid="{00000000-0005-0000-0000-0000926B0000}"/>
    <cellStyle name="Normal 348 3 2 2 2" xfId="27539" xr:uid="{00000000-0005-0000-0000-0000936B0000}"/>
    <cellStyle name="Normal 348 3 2 3" xfId="27540" xr:uid="{00000000-0005-0000-0000-0000946B0000}"/>
    <cellStyle name="Normal 348 3 2 3 2" xfId="27541" xr:uid="{00000000-0005-0000-0000-0000956B0000}"/>
    <cellStyle name="Normal 348 3 2 3 2 2" xfId="27542" xr:uid="{00000000-0005-0000-0000-0000966B0000}"/>
    <cellStyle name="Normal 348 3 2 3 3" xfId="27543" xr:uid="{00000000-0005-0000-0000-0000976B0000}"/>
    <cellStyle name="Normal 348 3 2 4" xfId="27544" xr:uid="{00000000-0005-0000-0000-0000986B0000}"/>
    <cellStyle name="Normal 348 3 3" xfId="27545" xr:uid="{00000000-0005-0000-0000-0000996B0000}"/>
    <cellStyle name="Normal 348 3 3 2" xfId="27546" xr:uid="{00000000-0005-0000-0000-00009A6B0000}"/>
    <cellStyle name="Normal 348 3 3 2 2" xfId="27547" xr:uid="{00000000-0005-0000-0000-00009B6B0000}"/>
    <cellStyle name="Normal 348 3 3 3" xfId="27548" xr:uid="{00000000-0005-0000-0000-00009C6B0000}"/>
    <cellStyle name="Normal 348 3 4" xfId="27549" xr:uid="{00000000-0005-0000-0000-00009D6B0000}"/>
    <cellStyle name="Normal 348 3 4 2" xfId="27550" xr:uid="{00000000-0005-0000-0000-00009E6B0000}"/>
    <cellStyle name="Normal 348 3 4 2 2" xfId="27551" xr:uid="{00000000-0005-0000-0000-00009F6B0000}"/>
    <cellStyle name="Normal 348 3 4 3" xfId="27552" xr:uid="{00000000-0005-0000-0000-0000A06B0000}"/>
    <cellStyle name="Normal 348 3 5" xfId="27553" xr:uid="{00000000-0005-0000-0000-0000A16B0000}"/>
    <cellStyle name="Normal 348 3 5 2" xfId="27554" xr:uid="{00000000-0005-0000-0000-0000A26B0000}"/>
    <cellStyle name="Normal 348 3 5 2 2" xfId="27555" xr:uid="{00000000-0005-0000-0000-0000A36B0000}"/>
    <cellStyle name="Normal 348 3 5 3" xfId="27556" xr:uid="{00000000-0005-0000-0000-0000A46B0000}"/>
    <cellStyle name="Normal 348 3 6" xfId="27557" xr:uid="{00000000-0005-0000-0000-0000A56B0000}"/>
    <cellStyle name="Normal 348 4" xfId="27558" xr:uid="{00000000-0005-0000-0000-0000A66B0000}"/>
    <cellStyle name="Normal 348 4 2" xfId="27559" xr:uid="{00000000-0005-0000-0000-0000A76B0000}"/>
    <cellStyle name="Normal 348 4 2 2" xfId="27560" xr:uid="{00000000-0005-0000-0000-0000A86B0000}"/>
    <cellStyle name="Normal 348 4 3" xfId="27561" xr:uid="{00000000-0005-0000-0000-0000A96B0000}"/>
    <cellStyle name="Normal 348 5" xfId="27562" xr:uid="{00000000-0005-0000-0000-0000AA6B0000}"/>
    <cellStyle name="Normal 348 5 2" xfId="27563" xr:uid="{00000000-0005-0000-0000-0000AB6B0000}"/>
    <cellStyle name="Normal 348 5 2 2" xfId="27564" xr:uid="{00000000-0005-0000-0000-0000AC6B0000}"/>
    <cellStyle name="Normal 348 5 3" xfId="27565" xr:uid="{00000000-0005-0000-0000-0000AD6B0000}"/>
    <cellStyle name="Normal 348 6" xfId="27566" xr:uid="{00000000-0005-0000-0000-0000AE6B0000}"/>
    <cellStyle name="Normal 348 6 2" xfId="27567" xr:uid="{00000000-0005-0000-0000-0000AF6B0000}"/>
    <cellStyle name="Normal 348 6 2 2" xfId="27568" xr:uid="{00000000-0005-0000-0000-0000B06B0000}"/>
    <cellStyle name="Normal 348 6 3" xfId="27569" xr:uid="{00000000-0005-0000-0000-0000B16B0000}"/>
    <cellStyle name="Normal 348 7" xfId="27570" xr:uid="{00000000-0005-0000-0000-0000B26B0000}"/>
    <cellStyle name="Normal 349" xfId="27571" xr:uid="{00000000-0005-0000-0000-0000B36B0000}"/>
    <cellStyle name="Normal 349 2" xfId="27572" xr:uid="{00000000-0005-0000-0000-0000B46B0000}"/>
    <cellStyle name="Normal 349 2 2" xfId="27573" xr:uid="{00000000-0005-0000-0000-0000B56B0000}"/>
    <cellStyle name="Normal 349 2 2 2" xfId="27574" xr:uid="{00000000-0005-0000-0000-0000B66B0000}"/>
    <cellStyle name="Normal 349 2 3" xfId="27575" xr:uid="{00000000-0005-0000-0000-0000B76B0000}"/>
    <cellStyle name="Normal 349 2 3 2" xfId="27576" xr:uid="{00000000-0005-0000-0000-0000B86B0000}"/>
    <cellStyle name="Normal 349 2 3 2 2" xfId="27577" xr:uid="{00000000-0005-0000-0000-0000B96B0000}"/>
    <cellStyle name="Normal 349 2 3 3" xfId="27578" xr:uid="{00000000-0005-0000-0000-0000BA6B0000}"/>
    <cellStyle name="Normal 349 2 4" xfId="27579" xr:uid="{00000000-0005-0000-0000-0000BB6B0000}"/>
    <cellStyle name="Normal 349 2 4 2" xfId="27580" xr:uid="{00000000-0005-0000-0000-0000BC6B0000}"/>
    <cellStyle name="Normal 349 2 4 2 2" xfId="27581" xr:uid="{00000000-0005-0000-0000-0000BD6B0000}"/>
    <cellStyle name="Normal 349 2 4 3" xfId="27582" xr:uid="{00000000-0005-0000-0000-0000BE6B0000}"/>
    <cellStyle name="Normal 349 2 5" xfId="27583" xr:uid="{00000000-0005-0000-0000-0000BF6B0000}"/>
    <cellStyle name="Normal 349 3" xfId="27584" xr:uid="{00000000-0005-0000-0000-0000C06B0000}"/>
    <cellStyle name="Normal 349 3 2" xfId="27585" xr:uid="{00000000-0005-0000-0000-0000C16B0000}"/>
    <cellStyle name="Normal 349 3 2 2" xfId="27586" xr:uid="{00000000-0005-0000-0000-0000C26B0000}"/>
    <cellStyle name="Normal 349 3 2 2 2" xfId="27587" xr:uid="{00000000-0005-0000-0000-0000C36B0000}"/>
    <cellStyle name="Normal 349 3 2 3" xfId="27588" xr:uid="{00000000-0005-0000-0000-0000C46B0000}"/>
    <cellStyle name="Normal 349 3 2 3 2" xfId="27589" xr:uid="{00000000-0005-0000-0000-0000C56B0000}"/>
    <cellStyle name="Normal 349 3 2 3 2 2" xfId="27590" xr:uid="{00000000-0005-0000-0000-0000C66B0000}"/>
    <cellStyle name="Normal 349 3 2 3 3" xfId="27591" xr:uid="{00000000-0005-0000-0000-0000C76B0000}"/>
    <cellStyle name="Normal 349 3 2 4" xfId="27592" xr:uid="{00000000-0005-0000-0000-0000C86B0000}"/>
    <cellStyle name="Normal 349 3 3" xfId="27593" xr:uid="{00000000-0005-0000-0000-0000C96B0000}"/>
    <cellStyle name="Normal 349 3 3 2" xfId="27594" xr:uid="{00000000-0005-0000-0000-0000CA6B0000}"/>
    <cellStyle name="Normal 349 3 3 2 2" xfId="27595" xr:uid="{00000000-0005-0000-0000-0000CB6B0000}"/>
    <cellStyle name="Normal 349 3 3 3" xfId="27596" xr:uid="{00000000-0005-0000-0000-0000CC6B0000}"/>
    <cellStyle name="Normal 349 3 4" xfId="27597" xr:uid="{00000000-0005-0000-0000-0000CD6B0000}"/>
    <cellStyle name="Normal 349 3 4 2" xfId="27598" xr:uid="{00000000-0005-0000-0000-0000CE6B0000}"/>
    <cellStyle name="Normal 349 3 4 2 2" xfId="27599" xr:uid="{00000000-0005-0000-0000-0000CF6B0000}"/>
    <cellStyle name="Normal 349 3 4 3" xfId="27600" xr:uid="{00000000-0005-0000-0000-0000D06B0000}"/>
    <cellStyle name="Normal 349 3 5" xfId="27601" xr:uid="{00000000-0005-0000-0000-0000D16B0000}"/>
    <cellStyle name="Normal 349 3 5 2" xfId="27602" xr:uid="{00000000-0005-0000-0000-0000D26B0000}"/>
    <cellStyle name="Normal 349 3 5 2 2" xfId="27603" xr:uid="{00000000-0005-0000-0000-0000D36B0000}"/>
    <cellStyle name="Normal 349 3 5 3" xfId="27604" xr:uid="{00000000-0005-0000-0000-0000D46B0000}"/>
    <cellStyle name="Normal 349 3 6" xfId="27605" xr:uid="{00000000-0005-0000-0000-0000D56B0000}"/>
    <cellStyle name="Normal 349 4" xfId="27606" xr:uid="{00000000-0005-0000-0000-0000D66B0000}"/>
    <cellStyle name="Normal 349 4 2" xfId="27607" xr:uid="{00000000-0005-0000-0000-0000D76B0000}"/>
    <cellStyle name="Normal 349 4 2 2" xfId="27608" xr:uid="{00000000-0005-0000-0000-0000D86B0000}"/>
    <cellStyle name="Normal 349 4 3" xfId="27609" xr:uid="{00000000-0005-0000-0000-0000D96B0000}"/>
    <cellStyle name="Normal 349 5" xfId="27610" xr:uid="{00000000-0005-0000-0000-0000DA6B0000}"/>
    <cellStyle name="Normal 349 5 2" xfId="27611" xr:uid="{00000000-0005-0000-0000-0000DB6B0000}"/>
    <cellStyle name="Normal 349 5 2 2" xfId="27612" xr:uid="{00000000-0005-0000-0000-0000DC6B0000}"/>
    <cellStyle name="Normal 349 5 3" xfId="27613" xr:uid="{00000000-0005-0000-0000-0000DD6B0000}"/>
    <cellStyle name="Normal 349 6" xfId="27614" xr:uid="{00000000-0005-0000-0000-0000DE6B0000}"/>
    <cellStyle name="Normal 349 6 2" xfId="27615" xr:uid="{00000000-0005-0000-0000-0000DF6B0000}"/>
    <cellStyle name="Normal 349 6 2 2" xfId="27616" xr:uid="{00000000-0005-0000-0000-0000E06B0000}"/>
    <cellStyle name="Normal 349 6 3" xfId="27617" xr:uid="{00000000-0005-0000-0000-0000E16B0000}"/>
    <cellStyle name="Normal 349 7" xfId="27618" xr:uid="{00000000-0005-0000-0000-0000E26B0000}"/>
    <cellStyle name="Normal 35" xfId="27619" xr:uid="{00000000-0005-0000-0000-0000E36B0000}"/>
    <cellStyle name="Normal 35 2" xfId="27620" xr:uid="{00000000-0005-0000-0000-0000E46B0000}"/>
    <cellStyle name="Normal 35 2 2" xfId="27621" xr:uid="{00000000-0005-0000-0000-0000E56B0000}"/>
    <cellStyle name="Normal 35 2 2 2" xfId="27622" xr:uid="{00000000-0005-0000-0000-0000E66B0000}"/>
    <cellStyle name="Normal 35 2 2 2 2" xfId="27623" xr:uid="{00000000-0005-0000-0000-0000E76B0000}"/>
    <cellStyle name="Normal 35 2 2 3" xfId="27624" xr:uid="{00000000-0005-0000-0000-0000E86B0000}"/>
    <cellStyle name="Normal 35 2 2 3 2" xfId="27625" xr:uid="{00000000-0005-0000-0000-0000E96B0000}"/>
    <cellStyle name="Normal 35 2 2 3 2 2" xfId="27626" xr:uid="{00000000-0005-0000-0000-0000EA6B0000}"/>
    <cellStyle name="Normal 35 2 2 3 3" xfId="27627" xr:uid="{00000000-0005-0000-0000-0000EB6B0000}"/>
    <cellStyle name="Normal 35 2 2 4" xfId="27628" xr:uid="{00000000-0005-0000-0000-0000EC6B0000}"/>
    <cellStyle name="Normal 35 2 2 4 2" xfId="27629" xr:uid="{00000000-0005-0000-0000-0000ED6B0000}"/>
    <cellStyle name="Normal 35 2 2 4 2 2" xfId="27630" xr:uid="{00000000-0005-0000-0000-0000EE6B0000}"/>
    <cellStyle name="Normal 35 2 2 4 3" xfId="27631" xr:uid="{00000000-0005-0000-0000-0000EF6B0000}"/>
    <cellStyle name="Normal 35 2 2 5" xfId="27632" xr:uid="{00000000-0005-0000-0000-0000F06B0000}"/>
    <cellStyle name="Normal 35 2 3" xfId="27633" xr:uid="{00000000-0005-0000-0000-0000F16B0000}"/>
    <cellStyle name="Normal 35 2 3 2" xfId="27634" xr:uid="{00000000-0005-0000-0000-0000F26B0000}"/>
    <cellStyle name="Normal 35 2 3 2 2" xfId="27635" xr:uid="{00000000-0005-0000-0000-0000F36B0000}"/>
    <cellStyle name="Normal 35 2 3 3" xfId="27636" xr:uid="{00000000-0005-0000-0000-0000F46B0000}"/>
    <cellStyle name="Normal 35 2 4" xfId="27637" xr:uid="{00000000-0005-0000-0000-0000F56B0000}"/>
    <cellStyle name="Normal 35 2 4 2" xfId="27638" xr:uid="{00000000-0005-0000-0000-0000F66B0000}"/>
    <cellStyle name="Normal 35 2 4 2 2" xfId="27639" xr:uid="{00000000-0005-0000-0000-0000F76B0000}"/>
    <cellStyle name="Normal 35 2 4 3" xfId="27640" xr:uid="{00000000-0005-0000-0000-0000F86B0000}"/>
    <cellStyle name="Normal 35 2 5" xfId="27641" xr:uid="{00000000-0005-0000-0000-0000F96B0000}"/>
    <cellStyle name="Normal 35 2 5 2" xfId="27642" xr:uid="{00000000-0005-0000-0000-0000FA6B0000}"/>
    <cellStyle name="Normal 35 2 5 2 2" xfId="27643" xr:uid="{00000000-0005-0000-0000-0000FB6B0000}"/>
    <cellStyle name="Normal 35 2 5 3" xfId="27644" xr:uid="{00000000-0005-0000-0000-0000FC6B0000}"/>
    <cellStyle name="Normal 35 2 6" xfId="27645" xr:uid="{00000000-0005-0000-0000-0000FD6B0000}"/>
    <cellStyle name="Normal 35 3" xfId="27646" xr:uid="{00000000-0005-0000-0000-0000FE6B0000}"/>
    <cellStyle name="Normal 35 3 2" xfId="27647" xr:uid="{00000000-0005-0000-0000-0000FF6B0000}"/>
    <cellStyle name="Normal 35 3 2 2" xfId="27648" xr:uid="{00000000-0005-0000-0000-0000006C0000}"/>
    <cellStyle name="Normal 35 3 3" xfId="27649" xr:uid="{00000000-0005-0000-0000-0000016C0000}"/>
    <cellStyle name="Normal 35 3 3 2" xfId="27650" xr:uid="{00000000-0005-0000-0000-0000026C0000}"/>
    <cellStyle name="Normal 35 3 3 2 2" xfId="27651" xr:uid="{00000000-0005-0000-0000-0000036C0000}"/>
    <cellStyle name="Normal 35 3 3 3" xfId="27652" xr:uid="{00000000-0005-0000-0000-0000046C0000}"/>
    <cellStyle name="Normal 35 3 4" xfId="27653" xr:uid="{00000000-0005-0000-0000-0000056C0000}"/>
    <cellStyle name="Normal 35 3 4 2" xfId="27654" xr:uid="{00000000-0005-0000-0000-0000066C0000}"/>
    <cellStyle name="Normal 35 3 4 2 2" xfId="27655" xr:uid="{00000000-0005-0000-0000-0000076C0000}"/>
    <cellStyle name="Normal 35 3 4 3" xfId="27656" xr:uid="{00000000-0005-0000-0000-0000086C0000}"/>
    <cellStyle name="Normal 35 3 5" xfId="27657" xr:uid="{00000000-0005-0000-0000-0000096C0000}"/>
    <cellStyle name="Normal 35 4" xfId="27658" xr:uid="{00000000-0005-0000-0000-00000A6C0000}"/>
    <cellStyle name="Normal 35 4 2" xfId="27659" xr:uid="{00000000-0005-0000-0000-00000B6C0000}"/>
    <cellStyle name="Normal 35 4 2 2" xfId="27660" xr:uid="{00000000-0005-0000-0000-00000C6C0000}"/>
    <cellStyle name="Normal 35 4 3" xfId="27661" xr:uid="{00000000-0005-0000-0000-00000D6C0000}"/>
    <cellStyle name="Normal 35 5" xfId="27662" xr:uid="{00000000-0005-0000-0000-00000E6C0000}"/>
    <cellStyle name="Normal 35 5 2" xfId="27663" xr:uid="{00000000-0005-0000-0000-00000F6C0000}"/>
    <cellStyle name="Normal 35 5 2 2" xfId="27664" xr:uid="{00000000-0005-0000-0000-0000106C0000}"/>
    <cellStyle name="Normal 35 5 3" xfId="27665" xr:uid="{00000000-0005-0000-0000-0000116C0000}"/>
    <cellStyle name="Normal 35 6" xfId="27666" xr:uid="{00000000-0005-0000-0000-0000126C0000}"/>
    <cellStyle name="Normal 35 6 2" xfId="27667" xr:uid="{00000000-0005-0000-0000-0000136C0000}"/>
    <cellStyle name="Normal 35 6 2 2" xfId="27668" xr:uid="{00000000-0005-0000-0000-0000146C0000}"/>
    <cellStyle name="Normal 35 6 3" xfId="27669" xr:uid="{00000000-0005-0000-0000-0000156C0000}"/>
    <cellStyle name="Normal 35 7" xfId="27670" xr:uid="{00000000-0005-0000-0000-0000166C0000}"/>
    <cellStyle name="Normal 350" xfId="68" xr:uid="{00000000-0005-0000-0000-000044000000}"/>
    <cellStyle name="Normal 350 2" xfId="27671" xr:uid="{00000000-0005-0000-0000-0000176C0000}"/>
    <cellStyle name="Normal 350 2 2" xfId="27672" xr:uid="{00000000-0005-0000-0000-0000186C0000}"/>
    <cellStyle name="Normal 350 2 2 2" xfId="27673" xr:uid="{00000000-0005-0000-0000-0000196C0000}"/>
    <cellStyle name="Normal 350 2 3" xfId="27674" xr:uid="{00000000-0005-0000-0000-00001A6C0000}"/>
    <cellStyle name="Normal 350 2 3 2" xfId="27675" xr:uid="{00000000-0005-0000-0000-00001B6C0000}"/>
    <cellStyle name="Normal 350 2 3 2 2" xfId="27676" xr:uid="{00000000-0005-0000-0000-00001C6C0000}"/>
    <cellStyle name="Normal 350 2 3 3" xfId="27677" xr:uid="{00000000-0005-0000-0000-00001D6C0000}"/>
    <cellStyle name="Normal 350 2 4" xfId="27678" xr:uid="{00000000-0005-0000-0000-00001E6C0000}"/>
    <cellStyle name="Normal 350 2 4 2" xfId="27679" xr:uid="{00000000-0005-0000-0000-00001F6C0000}"/>
    <cellStyle name="Normal 350 2 4 2 2" xfId="27680" xr:uid="{00000000-0005-0000-0000-0000206C0000}"/>
    <cellStyle name="Normal 350 2 4 3" xfId="27681" xr:uid="{00000000-0005-0000-0000-0000216C0000}"/>
    <cellStyle name="Normal 350 2 5" xfId="27682" xr:uid="{00000000-0005-0000-0000-0000226C0000}"/>
    <cellStyle name="Normal 350 3" xfId="27683" xr:uid="{00000000-0005-0000-0000-0000236C0000}"/>
    <cellStyle name="Normal 350 3 2" xfId="27684" xr:uid="{00000000-0005-0000-0000-0000246C0000}"/>
    <cellStyle name="Normal 350 3 2 2" xfId="27685" xr:uid="{00000000-0005-0000-0000-0000256C0000}"/>
    <cellStyle name="Normal 350 3 2 2 2" xfId="27686" xr:uid="{00000000-0005-0000-0000-0000266C0000}"/>
    <cellStyle name="Normal 350 3 2 3" xfId="27687" xr:uid="{00000000-0005-0000-0000-0000276C0000}"/>
    <cellStyle name="Normal 350 3 2 3 2" xfId="27688" xr:uid="{00000000-0005-0000-0000-0000286C0000}"/>
    <cellStyle name="Normal 350 3 2 3 2 2" xfId="27689" xr:uid="{00000000-0005-0000-0000-0000296C0000}"/>
    <cellStyle name="Normal 350 3 2 3 3" xfId="27690" xr:uid="{00000000-0005-0000-0000-00002A6C0000}"/>
    <cellStyle name="Normal 350 3 2 4" xfId="27691" xr:uid="{00000000-0005-0000-0000-00002B6C0000}"/>
    <cellStyle name="Normal 350 3 3" xfId="27692" xr:uid="{00000000-0005-0000-0000-00002C6C0000}"/>
    <cellStyle name="Normal 350 3 3 2" xfId="27693" xr:uid="{00000000-0005-0000-0000-00002D6C0000}"/>
    <cellStyle name="Normal 350 3 3 2 2" xfId="27694" xr:uid="{00000000-0005-0000-0000-00002E6C0000}"/>
    <cellStyle name="Normal 350 3 3 3" xfId="27695" xr:uid="{00000000-0005-0000-0000-00002F6C0000}"/>
    <cellStyle name="Normal 350 3 4" xfId="27696" xr:uid="{00000000-0005-0000-0000-0000306C0000}"/>
    <cellStyle name="Normal 350 3 4 2" xfId="27697" xr:uid="{00000000-0005-0000-0000-0000316C0000}"/>
    <cellStyle name="Normal 350 3 4 2 2" xfId="27698" xr:uid="{00000000-0005-0000-0000-0000326C0000}"/>
    <cellStyle name="Normal 350 3 4 3" xfId="27699" xr:uid="{00000000-0005-0000-0000-0000336C0000}"/>
    <cellStyle name="Normal 350 3 5" xfId="27700" xr:uid="{00000000-0005-0000-0000-0000346C0000}"/>
    <cellStyle name="Normal 350 3 5 2" xfId="27701" xr:uid="{00000000-0005-0000-0000-0000356C0000}"/>
    <cellStyle name="Normal 350 3 5 2 2" xfId="27702" xr:uid="{00000000-0005-0000-0000-0000366C0000}"/>
    <cellStyle name="Normal 350 3 5 3" xfId="27703" xr:uid="{00000000-0005-0000-0000-0000376C0000}"/>
    <cellStyle name="Normal 350 3 6" xfId="27704" xr:uid="{00000000-0005-0000-0000-0000386C0000}"/>
    <cellStyle name="Normal 350 4" xfId="27705" xr:uid="{00000000-0005-0000-0000-0000396C0000}"/>
    <cellStyle name="Normal 350 4 2" xfId="27706" xr:uid="{00000000-0005-0000-0000-00003A6C0000}"/>
    <cellStyle name="Normal 350 4 2 2" xfId="27707" xr:uid="{00000000-0005-0000-0000-00003B6C0000}"/>
    <cellStyle name="Normal 350 4 3" xfId="27708" xr:uid="{00000000-0005-0000-0000-00003C6C0000}"/>
    <cellStyle name="Normal 350 5" xfId="27709" xr:uid="{00000000-0005-0000-0000-00003D6C0000}"/>
    <cellStyle name="Normal 350 5 2" xfId="27710" xr:uid="{00000000-0005-0000-0000-00003E6C0000}"/>
    <cellStyle name="Normal 350 5 2 2" xfId="27711" xr:uid="{00000000-0005-0000-0000-00003F6C0000}"/>
    <cellStyle name="Normal 350 5 3" xfId="27712" xr:uid="{00000000-0005-0000-0000-0000406C0000}"/>
    <cellStyle name="Normal 350 6" xfId="27713" xr:uid="{00000000-0005-0000-0000-0000416C0000}"/>
    <cellStyle name="Normal 350 6 2" xfId="27714" xr:uid="{00000000-0005-0000-0000-0000426C0000}"/>
    <cellStyle name="Normal 350 6 2 2" xfId="27715" xr:uid="{00000000-0005-0000-0000-0000436C0000}"/>
    <cellStyle name="Normal 350 6 3" xfId="27716" xr:uid="{00000000-0005-0000-0000-0000446C0000}"/>
    <cellStyle name="Normal 350 7" xfId="27717" xr:uid="{00000000-0005-0000-0000-0000456C0000}"/>
    <cellStyle name="Normal 351" xfId="69" xr:uid="{00000000-0005-0000-0000-000045000000}"/>
    <cellStyle name="Normal 351 2" xfId="27718" xr:uid="{00000000-0005-0000-0000-0000466C0000}"/>
    <cellStyle name="Normal 351 2 2" xfId="27719" xr:uid="{00000000-0005-0000-0000-0000476C0000}"/>
    <cellStyle name="Normal 351 2 2 2" xfId="27720" xr:uid="{00000000-0005-0000-0000-0000486C0000}"/>
    <cellStyle name="Normal 351 2 3" xfId="27721" xr:uid="{00000000-0005-0000-0000-0000496C0000}"/>
    <cellStyle name="Normal 351 2 3 2" xfId="27722" xr:uid="{00000000-0005-0000-0000-00004A6C0000}"/>
    <cellStyle name="Normal 351 2 3 2 2" xfId="27723" xr:uid="{00000000-0005-0000-0000-00004B6C0000}"/>
    <cellStyle name="Normal 351 2 3 3" xfId="27724" xr:uid="{00000000-0005-0000-0000-00004C6C0000}"/>
    <cellStyle name="Normal 351 2 4" xfId="27725" xr:uid="{00000000-0005-0000-0000-00004D6C0000}"/>
    <cellStyle name="Normal 351 2 4 2" xfId="27726" xr:uid="{00000000-0005-0000-0000-00004E6C0000}"/>
    <cellStyle name="Normal 351 2 4 2 2" xfId="27727" xr:uid="{00000000-0005-0000-0000-00004F6C0000}"/>
    <cellStyle name="Normal 351 2 4 3" xfId="27728" xr:uid="{00000000-0005-0000-0000-0000506C0000}"/>
    <cellStyle name="Normal 351 2 5" xfId="27729" xr:uid="{00000000-0005-0000-0000-0000516C0000}"/>
    <cellStyle name="Normal 351 3" xfId="27730" xr:uid="{00000000-0005-0000-0000-0000526C0000}"/>
    <cellStyle name="Normal 351 3 2" xfId="27731" xr:uid="{00000000-0005-0000-0000-0000536C0000}"/>
    <cellStyle name="Normal 351 3 2 2" xfId="27732" xr:uid="{00000000-0005-0000-0000-0000546C0000}"/>
    <cellStyle name="Normal 351 3 2 2 2" xfId="27733" xr:uid="{00000000-0005-0000-0000-0000556C0000}"/>
    <cellStyle name="Normal 351 3 2 3" xfId="27734" xr:uid="{00000000-0005-0000-0000-0000566C0000}"/>
    <cellStyle name="Normal 351 3 2 3 2" xfId="27735" xr:uid="{00000000-0005-0000-0000-0000576C0000}"/>
    <cellStyle name="Normal 351 3 2 3 2 2" xfId="27736" xr:uid="{00000000-0005-0000-0000-0000586C0000}"/>
    <cellStyle name="Normal 351 3 2 3 3" xfId="27737" xr:uid="{00000000-0005-0000-0000-0000596C0000}"/>
    <cellStyle name="Normal 351 3 2 4" xfId="27738" xr:uid="{00000000-0005-0000-0000-00005A6C0000}"/>
    <cellStyle name="Normal 351 3 3" xfId="27739" xr:uid="{00000000-0005-0000-0000-00005B6C0000}"/>
    <cellStyle name="Normal 351 3 3 2" xfId="27740" xr:uid="{00000000-0005-0000-0000-00005C6C0000}"/>
    <cellStyle name="Normal 351 3 3 2 2" xfId="27741" xr:uid="{00000000-0005-0000-0000-00005D6C0000}"/>
    <cellStyle name="Normal 351 3 3 3" xfId="27742" xr:uid="{00000000-0005-0000-0000-00005E6C0000}"/>
    <cellStyle name="Normal 351 3 4" xfId="27743" xr:uid="{00000000-0005-0000-0000-00005F6C0000}"/>
    <cellStyle name="Normal 351 3 4 2" xfId="27744" xr:uid="{00000000-0005-0000-0000-0000606C0000}"/>
    <cellStyle name="Normal 351 3 4 2 2" xfId="27745" xr:uid="{00000000-0005-0000-0000-0000616C0000}"/>
    <cellStyle name="Normal 351 3 4 3" xfId="27746" xr:uid="{00000000-0005-0000-0000-0000626C0000}"/>
    <cellStyle name="Normal 351 3 5" xfId="27747" xr:uid="{00000000-0005-0000-0000-0000636C0000}"/>
    <cellStyle name="Normal 351 3 5 2" xfId="27748" xr:uid="{00000000-0005-0000-0000-0000646C0000}"/>
    <cellStyle name="Normal 351 3 5 2 2" xfId="27749" xr:uid="{00000000-0005-0000-0000-0000656C0000}"/>
    <cellStyle name="Normal 351 3 5 3" xfId="27750" xr:uid="{00000000-0005-0000-0000-0000666C0000}"/>
    <cellStyle name="Normal 351 3 6" xfId="27751" xr:uid="{00000000-0005-0000-0000-0000676C0000}"/>
    <cellStyle name="Normal 351 4" xfId="27752" xr:uid="{00000000-0005-0000-0000-0000686C0000}"/>
    <cellStyle name="Normal 351 4 2" xfId="27753" xr:uid="{00000000-0005-0000-0000-0000696C0000}"/>
    <cellStyle name="Normal 351 4 2 2" xfId="27754" xr:uid="{00000000-0005-0000-0000-00006A6C0000}"/>
    <cellStyle name="Normal 351 4 3" xfId="27755" xr:uid="{00000000-0005-0000-0000-00006B6C0000}"/>
    <cellStyle name="Normal 351 5" xfId="27756" xr:uid="{00000000-0005-0000-0000-00006C6C0000}"/>
    <cellStyle name="Normal 351 5 2" xfId="27757" xr:uid="{00000000-0005-0000-0000-00006D6C0000}"/>
    <cellStyle name="Normal 351 5 2 2" xfId="27758" xr:uid="{00000000-0005-0000-0000-00006E6C0000}"/>
    <cellStyle name="Normal 351 5 3" xfId="27759" xr:uid="{00000000-0005-0000-0000-00006F6C0000}"/>
    <cellStyle name="Normal 351 6" xfId="27760" xr:uid="{00000000-0005-0000-0000-0000706C0000}"/>
    <cellStyle name="Normal 351 6 2" xfId="27761" xr:uid="{00000000-0005-0000-0000-0000716C0000}"/>
    <cellStyle name="Normal 351 6 2 2" xfId="27762" xr:uid="{00000000-0005-0000-0000-0000726C0000}"/>
    <cellStyle name="Normal 351 6 3" xfId="27763" xr:uid="{00000000-0005-0000-0000-0000736C0000}"/>
    <cellStyle name="Normal 351 7" xfId="27764" xr:uid="{00000000-0005-0000-0000-0000746C0000}"/>
    <cellStyle name="Normal 352" xfId="70" xr:uid="{00000000-0005-0000-0000-000046000000}"/>
    <cellStyle name="Normal 352 2" xfId="27765" xr:uid="{00000000-0005-0000-0000-0000756C0000}"/>
    <cellStyle name="Normal 352 2 2" xfId="27766" xr:uid="{00000000-0005-0000-0000-0000766C0000}"/>
    <cellStyle name="Normal 352 2 2 2" xfId="27767" xr:uid="{00000000-0005-0000-0000-0000776C0000}"/>
    <cellStyle name="Normal 352 2 3" xfId="27768" xr:uid="{00000000-0005-0000-0000-0000786C0000}"/>
    <cellStyle name="Normal 352 2 3 2" xfId="27769" xr:uid="{00000000-0005-0000-0000-0000796C0000}"/>
    <cellStyle name="Normal 352 2 3 2 2" xfId="27770" xr:uid="{00000000-0005-0000-0000-00007A6C0000}"/>
    <cellStyle name="Normal 352 2 3 3" xfId="27771" xr:uid="{00000000-0005-0000-0000-00007B6C0000}"/>
    <cellStyle name="Normal 352 2 4" xfId="27772" xr:uid="{00000000-0005-0000-0000-00007C6C0000}"/>
    <cellStyle name="Normal 352 2 4 2" xfId="27773" xr:uid="{00000000-0005-0000-0000-00007D6C0000}"/>
    <cellStyle name="Normal 352 2 4 2 2" xfId="27774" xr:uid="{00000000-0005-0000-0000-00007E6C0000}"/>
    <cellStyle name="Normal 352 2 4 3" xfId="27775" xr:uid="{00000000-0005-0000-0000-00007F6C0000}"/>
    <cellStyle name="Normal 352 2 5" xfId="27776" xr:uid="{00000000-0005-0000-0000-0000806C0000}"/>
    <cellStyle name="Normal 352 3" xfId="27777" xr:uid="{00000000-0005-0000-0000-0000816C0000}"/>
    <cellStyle name="Normal 352 3 2" xfId="27778" xr:uid="{00000000-0005-0000-0000-0000826C0000}"/>
    <cellStyle name="Normal 352 3 2 2" xfId="27779" xr:uid="{00000000-0005-0000-0000-0000836C0000}"/>
    <cellStyle name="Normal 352 3 2 2 2" xfId="27780" xr:uid="{00000000-0005-0000-0000-0000846C0000}"/>
    <cellStyle name="Normal 352 3 2 3" xfId="27781" xr:uid="{00000000-0005-0000-0000-0000856C0000}"/>
    <cellStyle name="Normal 352 3 2 3 2" xfId="27782" xr:uid="{00000000-0005-0000-0000-0000866C0000}"/>
    <cellStyle name="Normal 352 3 2 3 2 2" xfId="27783" xr:uid="{00000000-0005-0000-0000-0000876C0000}"/>
    <cellStyle name="Normal 352 3 2 3 3" xfId="27784" xr:uid="{00000000-0005-0000-0000-0000886C0000}"/>
    <cellStyle name="Normal 352 3 2 4" xfId="27785" xr:uid="{00000000-0005-0000-0000-0000896C0000}"/>
    <cellStyle name="Normal 352 3 3" xfId="27786" xr:uid="{00000000-0005-0000-0000-00008A6C0000}"/>
    <cellStyle name="Normal 352 3 3 2" xfId="27787" xr:uid="{00000000-0005-0000-0000-00008B6C0000}"/>
    <cellStyle name="Normal 352 3 3 2 2" xfId="27788" xr:uid="{00000000-0005-0000-0000-00008C6C0000}"/>
    <cellStyle name="Normal 352 3 3 3" xfId="27789" xr:uid="{00000000-0005-0000-0000-00008D6C0000}"/>
    <cellStyle name="Normal 352 3 4" xfId="27790" xr:uid="{00000000-0005-0000-0000-00008E6C0000}"/>
    <cellStyle name="Normal 352 3 4 2" xfId="27791" xr:uid="{00000000-0005-0000-0000-00008F6C0000}"/>
    <cellStyle name="Normal 352 3 4 2 2" xfId="27792" xr:uid="{00000000-0005-0000-0000-0000906C0000}"/>
    <cellStyle name="Normal 352 3 4 3" xfId="27793" xr:uid="{00000000-0005-0000-0000-0000916C0000}"/>
    <cellStyle name="Normal 352 3 5" xfId="27794" xr:uid="{00000000-0005-0000-0000-0000926C0000}"/>
    <cellStyle name="Normal 352 3 5 2" xfId="27795" xr:uid="{00000000-0005-0000-0000-0000936C0000}"/>
    <cellStyle name="Normal 352 3 5 2 2" xfId="27796" xr:uid="{00000000-0005-0000-0000-0000946C0000}"/>
    <cellStyle name="Normal 352 3 5 3" xfId="27797" xr:uid="{00000000-0005-0000-0000-0000956C0000}"/>
    <cellStyle name="Normal 352 3 6" xfId="27798" xr:uid="{00000000-0005-0000-0000-0000966C0000}"/>
    <cellStyle name="Normal 352 4" xfId="27799" xr:uid="{00000000-0005-0000-0000-0000976C0000}"/>
    <cellStyle name="Normal 352 4 2" xfId="27800" xr:uid="{00000000-0005-0000-0000-0000986C0000}"/>
    <cellStyle name="Normal 352 4 2 2" xfId="27801" xr:uid="{00000000-0005-0000-0000-0000996C0000}"/>
    <cellStyle name="Normal 352 4 3" xfId="27802" xr:uid="{00000000-0005-0000-0000-00009A6C0000}"/>
    <cellStyle name="Normal 352 5" xfId="27803" xr:uid="{00000000-0005-0000-0000-00009B6C0000}"/>
    <cellStyle name="Normal 352 5 2" xfId="27804" xr:uid="{00000000-0005-0000-0000-00009C6C0000}"/>
    <cellStyle name="Normal 352 5 2 2" xfId="27805" xr:uid="{00000000-0005-0000-0000-00009D6C0000}"/>
    <cellStyle name="Normal 352 5 3" xfId="27806" xr:uid="{00000000-0005-0000-0000-00009E6C0000}"/>
    <cellStyle name="Normal 352 6" xfId="27807" xr:uid="{00000000-0005-0000-0000-00009F6C0000}"/>
    <cellStyle name="Normal 352 6 2" xfId="27808" xr:uid="{00000000-0005-0000-0000-0000A06C0000}"/>
    <cellStyle name="Normal 352 6 2 2" xfId="27809" xr:uid="{00000000-0005-0000-0000-0000A16C0000}"/>
    <cellStyle name="Normal 352 6 3" xfId="27810" xr:uid="{00000000-0005-0000-0000-0000A26C0000}"/>
    <cellStyle name="Normal 352 7" xfId="27811" xr:uid="{00000000-0005-0000-0000-0000A36C0000}"/>
    <cellStyle name="Normal 353" xfId="71" xr:uid="{00000000-0005-0000-0000-000047000000}"/>
    <cellStyle name="Normal 353 2" xfId="27812" xr:uid="{00000000-0005-0000-0000-0000A46C0000}"/>
    <cellStyle name="Normal 353 2 2" xfId="27813" xr:uid="{00000000-0005-0000-0000-0000A56C0000}"/>
    <cellStyle name="Normal 353 2 2 2" xfId="27814" xr:uid="{00000000-0005-0000-0000-0000A66C0000}"/>
    <cellStyle name="Normal 353 2 3" xfId="27815" xr:uid="{00000000-0005-0000-0000-0000A76C0000}"/>
    <cellStyle name="Normal 353 2 3 2" xfId="27816" xr:uid="{00000000-0005-0000-0000-0000A86C0000}"/>
    <cellStyle name="Normal 353 2 3 2 2" xfId="27817" xr:uid="{00000000-0005-0000-0000-0000A96C0000}"/>
    <cellStyle name="Normal 353 2 3 3" xfId="27818" xr:uid="{00000000-0005-0000-0000-0000AA6C0000}"/>
    <cellStyle name="Normal 353 2 4" xfId="27819" xr:uid="{00000000-0005-0000-0000-0000AB6C0000}"/>
    <cellStyle name="Normal 353 2 4 2" xfId="27820" xr:uid="{00000000-0005-0000-0000-0000AC6C0000}"/>
    <cellStyle name="Normal 353 2 4 2 2" xfId="27821" xr:uid="{00000000-0005-0000-0000-0000AD6C0000}"/>
    <cellStyle name="Normal 353 2 4 3" xfId="27822" xr:uid="{00000000-0005-0000-0000-0000AE6C0000}"/>
    <cellStyle name="Normal 353 2 5" xfId="27823" xr:uid="{00000000-0005-0000-0000-0000AF6C0000}"/>
    <cellStyle name="Normal 353 3" xfId="27824" xr:uid="{00000000-0005-0000-0000-0000B06C0000}"/>
    <cellStyle name="Normal 353 3 2" xfId="27825" xr:uid="{00000000-0005-0000-0000-0000B16C0000}"/>
    <cellStyle name="Normal 353 3 2 2" xfId="27826" xr:uid="{00000000-0005-0000-0000-0000B26C0000}"/>
    <cellStyle name="Normal 353 3 2 2 2" xfId="27827" xr:uid="{00000000-0005-0000-0000-0000B36C0000}"/>
    <cellStyle name="Normal 353 3 2 3" xfId="27828" xr:uid="{00000000-0005-0000-0000-0000B46C0000}"/>
    <cellStyle name="Normal 353 3 2 3 2" xfId="27829" xr:uid="{00000000-0005-0000-0000-0000B56C0000}"/>
    <cellStyle name="Normal 353 3 2 3 2 2" xfId="27830" xr:uid="{00000000-0005-0000-0000-0000B66C0000}"/>
    <cellStyle name="Normal 353 3 2 3 3" xfId="27831" xr:uid="{00000000-0005-0000-0000-0000B76C0000}"/>
    <cellStyle name="Normal 353 3 2 4" xfId="27832" xr:uid="{00000000-0005-0000-0000-0000B86C0000}"/>
    <cellStyle name="Normal 353 3 3" xfId="27833" xr:uid="{00000000-0005-0000-0000-0000B96C0000}"/>
    <cellStyle name="Normal 353 3 3 2" xfId="27834" xr:uid="{00000000-0005-0000-0000-0000BA6C0000}"/>
    <cellStyle name="Normal 353 3 3 2 2" xfId="27835" xr:uid="{00000000-0005-0000-0000-0000BB6C0000}"/>
    <cellStyle name="Normal 353 3 3 3" xfId="27836" xr:uid="{00000000-0005-0000-0000-0000BC6C0000}"/>
    <cellStyle name="Normal 353 3 4" xfId="27837" xr:uid="{00000000-0005-0000-0000-0000BD6C0000}"/>
    <cellStyle name="Normal 353 3 4 2" xfId="27838" xr:uid="{00000000-0005-0000-0000-0000BE6C0000}"/>
    <cellStyle name="Normal 353 3 4 2 2" xfId="27839" xr:uid="{00000000-0005-0000-0000-0000BF6C0000}"/>
    <cellStyle name="Normal 353 3 4 3" xfId="27840" xr:uid="{00000000-0005-0000-0000-0000C06C0000}"/>
    <cellStyle name="Normal 353 3 5" xfId="27841" xr:uid="{00000000-0005-0000-0000-0000C16C0000}"/>
    <cellStyle name="Normal 353 3 5 2" xfId="27842" xr:uid="{00000000-0005-0000-0000-0000C26C0000}"/>
    <cellStyle name="Normal 353 3 5 2 2" xfId="27843" xr:uid="{00000000-0005-0000-0000-0000C36C0000}"/>
    <cellStyle name="Normal 353 3 5 3" xfId="27844" xr:uid="{00000000-0005-0000-0000-0000C46C0000}"/>
    <cellStyle name="Normal 353 3 6" xfId="27845" xr:uid="{00000000-0005-0000-0000-0000C56C0000}"/>
    <cellStyle name="Normal 353 4" xfId="27846" xr:uid="{00000000-0005-0000-0000-0000C66C0000}"/>
    <cellStyle name="Normal 353 4 2" xfId="27847" xr:uid="{00000000-0005-0000-0000-0000C76C0000}"/>
    <cellStyle name="Normal 353 4 2 2" xfId="27848" xr:uid="{00000000-0005-0000-0000-0000C86C0000}"/>
    <cellStyle name="Normal 353 4 3" xfId="27849" xr:uid="{00000000-0005-0000-0000-0000C96C0000}"/>
    <cellStyle name="Normal 353 5" xfId="27850" xr:uid="{00000000-0005-0000-0000-0000CA6C0000}"/>
    <cellStyle name="Normal 353 5 2" xfId="27851" xr:uid="{00000000-0005-0000-0000-0000CB6C0000}"/>
    <cellStyle name="Normal 353 5 2 2" xfId="27852" xr:uid="{00000000-0005-0000-0000-0000CC6C0000}"/>
    <cellStyle name="Normal 353 5 3" xfId="27853" xr:uid="{00000000-0005-0000-0000-0000CD6C0000}"/>
    <cellStyle name="Normal 353 6" xfId="27854" xr:uid="{00000000-0005-0000-0000-0000CE6C0000}"/>
    <cellStyle name="Normal 353 6 2" xfId="27855" xr:uid="{00000000-0005-0000-0000-0000CF6C0000}"/>
    <cellStyle name="Normal 353 6 2 2" xfId="27856" xr:uid="{00000000-0005-0000-0000-0000D06C0000}"/>
    <cellStyle name="Normal 353 6 3" xfId="27857" xr:uid="{00000000-0005-0000-0000-0000D16C0000}"/>
    <cellStyle name="Normal 353 7" xfId="27858" xr:uid="{00000000-0005-0000-0000-0000D26C0000}"/>
    <cellStyle name="Normal 354" xfId="72" xr:uid="{00000000-0005-0000-0000-000048000000}"/>
    <cellStyle name="Normal 354 2" xfId="27859" xr:uid="{00000000-0005-0000-0000-0000D36C0000}"/>
    <cellStyle name="Normal 354 2 2" xfId="27860" xr:uid="{00000000-0005-0000-0000-0000D46C0000}"/>
    <cellStyle name="Normal 354 2 2 2" xfId="27861" xr:uid="{00000000-0005-0000-0000-0000D56C0000}"/>
    <cellStyle name="Normal 354 2 3" xfId="27862" xr:uid="{00000000-0005-0000-0000-0000D66C0000}"/>
    <cellStyle name="Normal 354 2 3 2" xfId="27863" xr:uid="{00000000-0005-0000-0000-0000D76C0000}"/>
    <cellStyle name="Normal 354 2 3 2 2" xfId="27864" xr:uid="{00000000-0005-0000-0000-0000D86C0000}"/>
    <cellStyle name="Normal 354 2 3 3" xfId="27865" xr:uid="{00000000-0005-0000-0000-0000D96C0000}"/>
    <cellStyle name="Normal 354 2 4" xfId="27866" xr:uid="{00000000-0005-0000-0000-0000DA6C0000}"/>
    <cellStyle name="Normal 354 2 4 2" xfId="27867" xr:uid="{00000000-0005-0000-0000-0000DB6C0000}"/>
    <cellStyle name="Normal 354 2 4 2 2" xfId="27868" xr:uid="{00000000-0005-0000-0000-0000DC6C0000}"/>
    <cellStyle name="Normal 354 2 4 3" xfId="27869" xr:uid="{00000000-0005-0000-0000-0000DD6C0000}"/>
    <cellStyle name="Normal 354 2 5" xfId="27870" xr:uid="{00000000-0005-0000-0000-0000DE6C0000}"/>
    <cellStyle name="Normal 354 3" xfId="27871" xr:uid="{00000000-0005-0000-0000-0000DF6C0000}"/>
    <cellStyle name="Normal 354 3 2" xfId="27872" xr:uid="{00000000-0005-0000-0000-0000E06C0000}"/>
    <cellStyle name="Normal 354 3 2 2" xfId="27873" xr:uid="{00000000-0005-0000-0000-0000E16C0000}"/>
    <cellStyle name="Normal 354 3 2 2 2" xfId="27874" xr:uid="{00000000-0005-0000-0000-0000E26C0000}"/>
    <cellStyle name="Normal 354 3 2 3" xfId="27875" xr:uid="{00000000-0005-0000-0000-0000E36C0000}"/>
    <cellStyle name="Normal 354 3 2 3 2" xfId="27876" xr:uid="{00000000-0005-0000-0000-0000E46C0000}"/>
    <cellStyle name="Normal 354 3 2 3 2 2" xfId="27877" xr:uid="{00000000-0005-0000-0000-0000E56C0000}"/>
    <cellStyle name="Normal 354 3 2 3 3" xfId="27878" xr:uid="{00000000-0005-0000-0000-0000E66C0000}"/>
    <cellStyle name="Normal 354 3 2 4" xfId="27879" xr:uid="{00000000-0005-0000-0000-0000E76C0000}"/>
    <cellStyle name="Normal 354 3 3" xfId="27880" xr:uid="{00000000-0005-0000-0000-0000E86C0000}"/>
    <cellStyle name="Normal 354 3 3 2" xfId="27881" xr:uid="{00000000-0005-0000-0000-0000E96C0000}"/>
    <cellStyle name="Normal 354 3 3 2 2" xfId="27882" xr:uid="{00000000-0005-0000-0000-0000EA6C0000}"/>
    <cellStyle name="Normal 354 3 3 3" xfId="27883" xr:uid="{00000000-0005-0000-0000-0000EB6C0000}"/>
    <cellStyle name="Normal 354 3 4" xfId="27884" xr:uid="{00000000-0005-0000-0000-0000EC6C0000}"/>
    <cellStyle name="Normal 354 3 4 2" xfId="27885" xr:uid="{00000000-0005-0000-0000-0000ED6C0000}"/>
    <cellStyle name="Normal 354 3 4 2 2" xfId="27886" xr:uid="{00000000-0005-0000-0000-0000EE6C0000}"/>
    <cellStyle name="Normal 354 3 4 3" xfId="27887" xr:uid="{00000000-0005-0000-0000-0000EF6C0000}"/>
    <cellStyle name="Normal 354 3 5" xfId="27888" xr:uid="{00000000-0005-0000-0000-0000F06C0000}"/>
    <cellStyle name="Normal 354 3 5 2" xfId="27889" xr:uid="{00000000-0005-0000-0000-0000F16C0000}"/>
    <cellStyle name="Normal 354 3 5 2 2" xfId="27890" xr:uid="{00000000-0005-0000-0000-0000F26C0000}"/>
    <cellStyle name="Normal 354 3 5 3" xfId="27891" xr:uid="{00000000-0005-0000-0000-0000F36C0000}"/>
    <cellStyle name="Normal 354 3 6" xfId="27892" xr:uid="{00000000-0005-0000-0000-0000F46C0000}"/>
    <cellStyle name="Normal 354 4" xfId="27893" xr:uid="{00000000-0005-0000-0000-0000F56C0000}"/>
    <cellStyle name="Normal 354 4 2" xfId="27894" xr:uid="{00000000-0005-0000-0000-0000F66C0000}"/>
    <cellStyle name="Normal 354 4 2 2" xfId="27895" xr:uid="{00000000-0005-0000-0000-0000F76C0000}"/>
    <cellStyle name="Normal 354 4 3" xfId="27896" xr:uid="{00000000-0005-0000-0000-0000F86C0000}"/>
    <cellStyle name="Normal 354 5" xfId="27897" xr:uid="{00000000-0005-0000-0000-0000F96C0000}"/>
    <cellStyle name="Normal 354 5 2" xfId="27898" xr:uid="{00000000-0005-0000-0000-0000FA6C0000}"/>
    <cellStyle name="Normal 354 5 2 2" xfId="27899" xr:uid="{00000000-0005-0000-0000-0000FB6C0000}"/>
    <cellStyle name="Normal 354 5 3" xfId="27900" xr:uid="{00000000-0005-0000-0000-0000FC6C0000}"/>
    <cellStyle name="Normal 354 6" xfId="27901" xr:uid="{00000000-0005-0000-0000-0000FD6C0000}"/>
    <cellStyle name="Normal 354 6 2" xfId="27902" xr:uid="{00000000-0005-0000-0000-0000FE6C0000}"/>
    <cellStyle name="Normal 354 6 2 2" xfId="27903" xr:uid="{00000000-0005-0000-0000-0000FF6C0000}"/>
    <cellStyle name="Normal 354 6 3" xfId="27904" xr:uid="{00000000-0005-0000-0000-0000006D0000}"/>
    <cellStyle name="Normal 354 7" xfId="27905" xr:uid="{00000000-0005-0000-0000-0000016D0000}"/>
    <cellStyle name="Normal 355" xfId="73" xr:uid="{00000000-0005-0000-0000-000049000000}"/>
    <cellStyle name="Normal 355 2" xfId="27906" xr:uid="{00000000-0005-0000-0000-0000026D0000}"/>
    <cellStyle name="Normal 355 2 2" xfId="27907" xr:uid="{00000000-0005-0000-0000-0000036D0000}"/>
    <cellStyle name="Normal 355 2 2 2" xfId="27908" xr:uid="{00000000-0005-0000-0000-0000046D0000}"/>
    <cellStyle name="Normal 355 2 3" xfId="27909" xr:uid="{00000000-0005-0000-0000-0000056D0000}"/>
    <cellStyle name="Normal 355 2 3 2" xfId="27910" xr:uid="{00000000-0005-0000-0000-0000066D0000}"/>
    <cellStyle name="Normal 355 2 3 2 2" xfId="27911" xr:uid="{00000000-0005-0000-0000-0000076D0000}"/>
    <cellStyle name="Normal 355 2 3 3" xfId="27912" xr:uid="{00000000-0005-0000-0000-0000086D0000}"/>
    <cellStyle name="Normal 355 2 4" xfId="27913" xr:uid="{00000000-0005-0000-0000-0000096D0000}"/>
    <cellStyle name="Normal 355 2 4 2" xfId="27914" xr:uid="{00000000-0005-0000-0000-00000A6D0000}"/>
    <cellStyle name="Normal 355 2 4 2 2" xfId="27915" xr:uid="{00000000-0005-0000-0000-00000B6D0000}"/>
    <cellStyle name="Normal 355 2 4 3" xfId="27916" xr:uid="{00000000-0005-0000-0000-00000C6D0000}"/>
    <cellStyle name="Normal 355 2 5" xfId="27917" xr:uid="{00000000-0005-0000-0000-00000D6D0000}"/>
    <cellStyle name="Normal 355 3" xfId="27918" xr:uid="{00000000-0005-0000-0000-00000E6D0000}"/>
    <cellStyle name="Normal 355 3 2" xfId="27919" xr:uid="{00000000-0005-0000-0000-00000F6D0000}"/>
    <cellStyle name="Normal 355 3 2 2" xfId="27920" xr:uid="{00000000-0005-0000-0000-0000106D0000}"/>
    <cellStyle name="Normal 355 3 2 2 2" xfId="27921" xr:uid="{00000000-0005-0000-0000-0000116D0000}"/>
    <cellStyle name="Normal 355 3 2 3" xfId="27922" xr:uid="{00000000-0005-0000-0000-0000126D0000}"/>
    <cellStyle name="Normal 355 3 2 3 2" xfId="27923" xr:uid="{00000000-0005-0000-0000-0000136D0000}"/>
    <cellStyle name="Normal 355 3 2 3 2 2" xfId="27924" xr:uid="{00000000-0005-0000-0000-0000146D0000}"/>
    <cellStyle name="Normal 355 3 2 3 3" xfId="27925" xr:uid="{00000000-0005-0000-0000-0000156D0000}"/>
    <cellStyle name="Normal 355 3 2 4" xfId="27926" xr:uid="{00000000-0005-0000-0000-0000166D0000}"/>
    <cellStyle name="Normal 355 3 3" xfId="27927" xr:uid="{00000000-0005-0000-0000-0000176D0000}"/>
    <cellStyle name="Normal 355 3 3 2" xfId="27928" xr:uid="{00000000-0005-0000-0000-0000186D0000}"/>
    <cellStyle name="Normal 355 3 3 2 2" xfId="27929" xr:uid="{00000000-0005-0000-0000-0000196D0000}"/>
    <cellStyle name="Normal 355 3 3 3" xfId="27930" xr:uid="{00000000-0005-0000-0000-00001A6D0000}"/>
    <cellStyle name="Normal 355 3 4" xfId="27931" xr:uid="{00000000-0005-0000-0000-00001B6D0000}"/>
    <cellStyle name="Normal 355 3 4 2" xfId="27932" xr:uid="{00000000-0005-0000-0000-00001C6D0000}"/>
    <cellStyle name="Normal 355 3 4 2 2" xfId="27933" xr:uid="{00000000-0005-0000-0000-00001D6D0000}"/>
    <cellStyle name="Normal 355 3 4 3" xfId="27934" xr:uid="{00000000-0005-0000-0000-00001E6D0000}"/>
    <cellStyle name="Normal 355 3 5" xfId="27935" xr:uid="{00000000-0005-0000-0000-00001F6D0000}"/>
    <cellStyle name="Normal 355 3 5 2" xfId="27936" xr:uid="{00000000-0005-0000-0000-0000206D0000}"/>
    <cellStyle name="Normal 355 3 5 2 2" xfId="27937" xr:uid="{00000000-0005-0000-0000-0000216D0000}"/>
    <cellStyle name="Normal 355 3 5 3" xfId="27938" xr:uid="{00000000-0005-0000-0000-0000226D0000}"/>
    <cellStyle name="Normal 355 3 6" xfId="27939" xr:uid="{00000000-0005-0000-0000-0000236D0000}"/>
    <cellStyle name="Normal 355 4" xfId="27940" xr:uid="{00000000-0005-0000-0000-0000246D0000}"/>
    <cellStyle name="Normal 355 4 2" xfId="27941" xr:uid="{00000000-0005-0000-0000-0000256D0000}"/>
    <cellStyle name="Normal 355 4 2 2" xfId="27942" xr:uid="{00000000-0005-0000-0000-0000266D0000}"/>
    <cellStyle name="Normal 355 4 3" xfId="27943" xr:uid="{00000000-0005-0000-0000-0000276D0000}"/>
    <cellStyle name="Normal 355 5" xfId="27944" xr:uid="{00000000-0005-0000-0000-0000286D0000}"/>
    <cellStyle name="Normal 355 5 2" xfId="27945" xr:uid="{00000000-0005-0000-0000-0000296D0000}"/>
    <cellStyle name="Normal 355 5 2 2" xfId="27946" xr:uid="{00000000-0005-0000-0000-00002A6D0000}"/>
    <cellStyle name="Normal 355 5 3" xfId="27947" xr:uid="{00000000-0005-0000-0000-00002B6D0000}"/>
    <cellStyle name="Normal 355 6" xfId="27948" xr:uid="{00000000-0005-0000-0000-00002C6D0000}"/>
    <cellStyle name="Normal 355 6 2" xfId="27949" xr:uid="{00000000-0005-0000-0000-00002D6D0000}"/>
    <cellStyle name="Normal 355 6 2 2" xfId="27950" xr:uid="{00000000-0005-0000-0000-00002E6D0000}"/>
    <cellStyle name="Normal 355 6 3" xfId="27951" xr:uid="{00000000-0005-0000-0000-00002F6D0000}"/>
    <cellStyle name="Normal 355 7" xfId="27952" xr:uid="{00000000-0005-0000-0000-0000306D0000}"/>
    <cellStyle name="Normal 356" xfId="27953" xr:uid="{00000000-0005-0000-0000-0000316D0000}"/>
    <cellStyle name="Normal 356 2" xfId="27954" xr:uid="{00000000-0005-0000-0000-0000326D0000}"/>
    <cellStyle name="Normal 356 2 2" xfId="27955" xr:uid="{00000000-0005-0000-0000-0000336D0000}"/>
    <cellStyle name="Normal 356 2 2 2" xfId="27956" xr:uid="{00000000-0005-0000-0000-0000346D0000}"/>
    <cellStyle name="Normal 356 2 3" xfId="27957" xr:uid="{00000000-0005-0000-0000-0000356D0000}"/>
    <cellStyle name="Normal 356 2 3 2" xfId="27958" xr:uid="{00000000-0005-0000-0000-0000366D0000}"/>
    <cellStyle name="Normal 356 2 3 2 2" xfId="27959" xr:uid="{00000000-0005-0000-0000-0000376D0000}"/>
    <cellStyle name="Normal 356 2 3 3" xfId="27960" xr:uid="{00000000-0005-0000-0000-0000386D0000}"/>
    <cellStyle name="Normal 356 2 4" xfId="27961" xr:uid="{00000000-0005-0000-0000-0000396D0000}"/>
    <cellStyle name="Normal 356 2 4 2" xfId="27962" xr:uid="{00000000-0005-0000-0000-00003A6D0000}"/>
    <cellStyle name="Normal 356 2 4 2 2" xfId="27963" xr:uid="{00000000-0005-0000-0000-00003B6D0000}"/>
    <cellStyle name="Normal 356 2 4 3" xfId="27964" xr:uid="{00000000-0005-0000-0000-00003C6D0000}"/>
    <cellStyle name="Normal 356 2 5" xfId="27965" xr:uid="{00000000-0005-0000-0000-00003D6D0000}"/>
    <cellStyle name="Normal 356 3" xfId="27966" xr:uid="{00000000-0005-0000-0000-00003E6D0000}"/>
    <cellStyle name="Normal 356 3 2" xfId="27967" xr:uid="{00000000-0005-0000-0000-00003F6D0000}"/>
    <cellStyle name="Normal 356 3 2 2" xfId="27968" xr:uid="{00000000-0005-0000-0000-0000406D0000}"/>
    <cellStyle name="Normal 356 3 2 2 2" xfId="27969" xr:uid="{00000000-0005-0000-0000-0000416D0000}"/>
    <cellStyle name="Normal 356 3 2 3" xfId="27970" xr:uid="{00000000-0005-0000-0000-0000426D0000}"/>
    <cellStyle name="Normal 356 3 2 3 2" xfId="27971" xr:uid="{00000000-0005-0000-0000-0000436D0000}"/>
    <cellStyle name="Normal 356 3 2 3 2 2" xfId="27972" xr:uid="{00000000-0005-0000-0000-0000446D0000}"/>
    <cellStyle name="Normal 356 3 2 3 3" xfId="27973" xr:uid="{00000000-0005-0000-0000-0000456D0000}"/>
    <cellStyle name="Normal 356 3 2 4" xfId="27974" xr:uid="{00000000-0005-0000-0000-0000466D0000}"/>
    <cellStyle name="Normal 356 3 3" xfId="27975" xr:uid="{00000000-0005-0000-0000-0000476D0000}"/>
    <cellStyle name="Normal 356 3 3 2" xfId="27976" xr:uid="{00000000-0005-0000-0000-0000486D0000}"/>
    <cellStyle name="Normal 356 3 3 2 2" xfId="27977" xr:uid="{00000000-0005-0000-0000-0000496D0000}"/>
    <cellStyle name="Normal 356 3 3 3" xfId="27978" xr:uid="{00000000-0005-0000-0000-00004A6D0000}"/>
    <cellStyle name="Normal 356 3 4" xfId="27979" xr:uid="{00000000-0005-0000-0000-00004B6D0000}"/>
    <cellStyle name="Normal 356 3 4 2" xfId="27980" xr:uid="{00000000-0005-0000-0000-00004C6D0000}"/>
    <cellStyle name="Normal 356 3 4 2 2" xfId="27981" xr:uid="{00000000-0005-0000-0000-00004D6D0000}"/>
    <cellStyle name="Normal 356 3 4 3" xfId="27982" xr:uid="{00000000-0005-0000-0000-00004E6D0000}"/>
    <cellStyle name="Normal 356 3 5" xfId="27983" xr:uid="{00000000-0005-0000-0000-00004F6D0000}"/>
    <cellStyle name="Normal 356 3 5 2" xfId="27984" xr:uid="{00000000-0005-0000-0000-0000506D0000}"/>
    <cellStyle name="Normal 356 3 5 2 2" xfId="27985" xr:uid="{00000000-0005-0000-0000-0000516D0000}"/>
    <cellStyle name="Normal 356 3 5 3" xfId="27986" xr:uid="{00000000-0005-0000-0000-0000526D0000}"/>
    <cellStyle name="Normal 356 3 6" xfId="27987" xr:uid="{00000000-0005-0000-0000-0000536D0000}"/>
    <cellStyle name="Normal 356 4" xfId="27988" xr:uid="{00000000-0005-0000-0000-0000546D0000}"/>
    <cellStyle name="Normal 356 4 2" xfId="27989" xr:uid="{00000000-0005-0000-0000-0000556D0000}"/>
    <cellStyle name="Normal 356 4 2 2" xfId="27990" xr:uid="{00000000-0005-0000-0000-0000566D0000}"/>
    <cellStyle name="Normal 356 4 3" xfId="27991" xr:uid="{00000000-0005-0000-0000-0000576D0000}"/>
    <cellStyle name="Normal 356 5" xfId="27992" xr:uid="{00000000-0005-0000-0000-0000586D0000}"/>
    <cellStyle name="Normal 356 5 2" xfId="27993" xr:uid="{00000000-0005-0000-0000-0000596D0000}"/>
    <cellStyle name="Normal 356 5 2 2" xfId="27994" xr:uid="{00000000-0005-0000-0000-00005A6D0000}"/>
    <cellStyle name="Normal 356 5 3" xfId="27995" xr:uid="{00000000-0005-0000-0000-00005B6D0000}"/>
    <cellStyle name="Normal 356 6" xfId="27996" xr:uid="{00000000-0005-0000-0000-00005C6D0000}"/>
    <cellStyle name="Normal 356 6 2" xfId="27997" xr:uid="{00000000-0005-0000-0000-00005D6D0000}"/>
    <cellStyle name="Normal 356 6 2 2" xfId="27998" xr:uid="{00000000-0005-0000-0000-00005E6D0000}"/>
    <cellStyle name="Normal 356 6 3" xfId="27999" xr:uid="{00000000-0005-0000-0000-00005F6D0000}"/>
    <cellStyle name="Normal 356 7" xfId="28000" xr:uid="{00000000-0005-0000-0000-0000606D0000}"/>
    <cellStyle name="Normal 357" xfId="28001" xr:uid="{00000000-0005-0000-0000-0000616D0000}"/>
    <cellStyle name="Normal 357 2" xfId="28002" xr:uid="{00000000-0005-0000-0000-0000626D0000}"/>
    <cellStyle name="Normal 357 2 2" xfId="28003" xr:uid="{00000000-0005-0000-0000-0000636D0000}"/>
    <cellStyle name="Normal 357 2 2 2" xfId="28004" xr:uid="{00000000-0005-0000-0000-0000646D0000}"/>
    <cellStyle name="Normal 357 2 3" xfId="28005" xr:uid="{00000000-0005-0000-0000-0000656D0000}"/>
    <cellStyle name="Normal 357 2 3 2" xfId="28006" xr:uid="{00000000-0005-0000-0000-0000666D0000}"/>
    <cellStyle name="Normal 357 2 3 2 2" xfId="28007" xr:uid="{00000000-0005-0000-0000-0000676D0000}"/>
    <cellStyle name="Normal 357 2 3 3" xfId="28008" xr:uid="{00000000-0005-0000-0000-0000686D0000}"/>
    <cellStyle name="Normal 357 2 4" xfId="28009" xr:uid="{00000000-0005-0000-0000-0000696D0000}"/>
    <cellStyle name="Normal 357 2 4 2" xfId="28010" xr:uid="{00000000-0005-0000-0000-00006A6D0000}"/>
    <cellStyle name="Normal 357 2 4 2 2" xfId="28011" xr:uid="{00000000-0005-0000-0000-00006B6D0000}"/>
    <cellStyle name="Normal 357 2 4 3" xfId="28012" xr:uid="{00000000-0005-0000-0000-00006C6D0000}"/>
    <cellStyle name="Normal 357 2 5" xfId="28013" xr:uid="{00000000-0005-0000-0000-00006D6D0000}"/>
    <cellStyle name="Normal 357 3" xfId="28014" xr:uid="{00000000-0005-0000-0000-00006E6D0000}"/>
    <cellStyle name="Normal 357 3 2" xfId="28015" xr:uid="{00000000-0005-0000-0000-00006F6D0000}"/>
    <cellStyle name="Normal 357 3 2 2" xfId="28016" xr:uid="{00000000-0005-0000-0000-0000706D0000}"/>
    <cellStyle name="Normal 357 3 2 2 2" xfId="28017" xr:uid="{00000000-0005-0000-0000-0000716D0000}"/>
    <cellStyle name="Normal 357 3 2 3" xfId="28018" xr:uid="{00000000-0005-0000-0000-0000726D0000}"/>
    <cellStyle name="Normal 357 3 2 3 2" xfId="28019" xr:uid="{00000000-0005-0000-0000-0000736D0000}"/>
    <cellStyle name="Normal 357 3 2 3 2 2" xfId="28020" xr:uid="{00000000-0005-0000-0000-0000746D0000}"/>
    <cellStyle name="Normal 357 3 2 3 3" xfId="28021" xr:uid="{00000000-0005-0000-0000-0000756D0000}"/>
    <cellStyle name="Normal 357 3 2 4" xfId="28022" xr:uid="{00000000-0005-0000-0000-0000766D0000}"/>
    <cellStyle name="Normal 357 3 3" xfId="28023" xr:uid="{00000000-0005-0000-0000-0000776D0000}"/>
    <cellStyle name="Normal 357 3 3 2" xfId="28024" xr:uid="{00000000-0005-0000-0000-0000786D0000}"/>
    <cellStyle name="Normal 357 3 3 2 2" xfId="28025" xr:uid="{00000000-0005-0000-0000-0000796D0000}"/>
    <cellStyle name="Normal 357 3 3 3" xfId="28026" xr:uid="{00000000-0005-0000-0000-00007A6D0000}"/>
    <cellStyle name="Normal 357 3 4" xfId="28027" xr:uid="{00000000-0005-0000-0000-00007B6D0000}"/>
    <cellStyle name="Normal 357 3 4 2" xfId="28028" xr:uid="{00000000-0005-0000-0000-00007C6D0000}"/>
    <cellStyle name="Normal 357 3 4 2 2" xfId="28029" xr:uid="{00000000-0005-0000-0000-00007D6D0000}"/>
    <cellStyle name="Normal 357 3 4 3" xfId="28030" xr:uid="{00000000-0005-0000-0000-00007E6D0000}"/>
    <cellStyle name="Normal 357 3 5" xfId="28031" xr:uid="{00000000-0005-0000-0000-00007F6D0000}"/>
    <cellStyle name="Normal 357 3 5 2" xfId="28032" xr:uid="{00000000-0005-0000-0000-0000806D0000}"/>
    <cellStyle name="Normal 357 3 5 2 2" xfId="28033" xr:uid="{00000000-0005-0000-0000-0000816D0000}"/>
    <cellStyle name="Normal 357 3 5 3" xfId="28034" xr:uid="{00000000-0005-0000-0000-0000826D0000}"/>
    <cellStyle name="Normal 357 3 6" xfId="28035" xr:uid="{00000000-0005-0000-0000-0000836D0000}"/>
    <cellStyle name="Normal 357 4" xfId="28036" xr:uid="{00000000-0005-0000-0000-0000846D0000}"/>
    <cellStyle name="Normal 357 4 2" xfId="28037" xr:uid="{00000000-0005-0000-0000-0000856D0000}"/>
    <cellStyle name="Normal 357 4 2 2" xfId="28038" xr:uid="{00000000-0005-0000-0000-0000866D0000}"/>
    <cellStyle name="Normal 357 4 3" xfId="28039" xr:uid="{00000000-0005-0000-0000-0000876D0000}"/>
    <cellStyle name="Normal 357 5" xfId="28040" xr:uid="{00000000-0005-0000-0000-0000886D0000}"/>
    <cellStyle name="Normal 357 5 2" xfId="28041" xr:uid="{00000000-0005-0000-0000-0000896D0000}"/>
    <cellStyle name="Normal 357 5 2 2" xfId="28042" xr:uid="{00000000-0005-0000-0000-00008A6D0000}"/>
    <cellStyle name="Normal 357 5 3" xfId="28043" xr:uid="{00000000-0005-0000-0000-00008B6D0000}"/>
    <cellStyle name="Normal 357 6" xfId="28044" xr:uid="{00000000-0005-0000-0000-00008C6D0000}"/>
    <cellStyle name="Normal 357 6 2" xfId="28045" xr:uid="{00000000-0005-0000-0000-00008D6D0000}"/>
    <cellStyle name="Normal 357 6 2 2" xfId="28046" xr:uid="{00000000-0005-0000-0000-00008E6D0000}"/>
    <cellStyle name="Normal 357 6 3" xfId="28047" xr:uid="{00000000-0005-0000-0000-00008F6D0000}"/>
    <cellStyle name="Normal 357 7" xfId="28048" xr:uid="{00000000-0005-0000-0000-0000906D0000}"/>
    <cellStyle name="Normal 358" xfId="28049" xr:uid="{00000000-0005-0000-0000-0000916D0000}"/>
    <cellStyle name="Normal 358 2" xfId="28050" xr:uid="{00000000-0005-0000-0000-0000926D0000}"/>
    <cellStyle name="Normal 358 2 2" xfId="28051" xr:uid="{00000000-0005-0000-0000-0000936D0000}"/>
    <cellStyle name="Normal 358 2 2 2" xfId="28052" xr:uid="{00000000-0005-0000-0000-0000946D0000}"/>
    <cellStyle name="Normal 358 2 3" xfId="28053" xr:uid="{00000000-0005-0000-0000-0000956D0000}"/>
    <cellStyle name="Normal 358 2 3 2" xfId="28054" xr:uid="{00000000-0005-0000-0000-0000966D0000}"/>
    <cellStyle name="Normal 358 2 3 2 2" xfId="28055" xr:uid="{00000000-0005-0000-0000-0000976D0000}"/>
    <cellStyle name="Normal 358 2 3 3" xfId="28056" xr:uid="{00000000-0005-0000-0000-0000986D0000}"/>
    <cellStyle name="Normal 358 2 4" xfId="28057" xr:uid="{00000000-0005-0000-0000-0000996D0000}"/>
    <cellStyle name="Normal 358 2 4 2" xfId="28058" xr:uid="{00000000-0005-0000-0000-00009A6D0000}"/>
    <cellStyle name="Normal 358 2 4 2 2" xfId="28059" xr:uid="{00000000-0005-0000-0000-00009B6D0000}"/>
    <cellStyle name="Normal 358 2 4 3" xfId="28060" xr:uid="{00000000-0005-0000-0000-00009C6D0000}"/>
    <cellStyle name="Normal 358 2 5" xfId="28061" xr:uid="{00000000-0005-0000-0000-00009D6D0000}"/>
    <cellStyle name="Normal 358 3" xfId="28062" xr:uid="{00000000-0005-0000-0000-00009E6D0000}"/>
    <cellStyle name="Normal 358 3 2" xfId="28063" xr:uid="{00000000-0005-0000-0000-00009F6D0000}"/>
    <cellStyle name="Normal 358 3 2 2" xfId="28064" xr:uid="{00000000-0005-0000-0000-0000A06D0000}"/>
    <cellStyle name="Normal 358 3 2 2 2" xfId="28065" xr:uid="{00000000-0005-0000-0000-0000A16D0000}"/>
    <cellStyle name="Normal 358 3 2 3" xfId="28066" xr:uid="{00000000-0005-0000-0000-0000A26D0000}"/>
    <cellStyle name="Normal 358 3 2 3 2" xfId="28067" xr:uid="{00000000-0005-0000-0000-0000A36D0000}"/>
    <cellStyle name="Normal 358 3 2 3 2 2" xfId="28068" xr:uid="{00000000-0005-0000-0000-0000A46D0000}"/>
    <cellStyle name="Normal 358 3 2 3 3" xfId="28069" xr:uid="{00000000-0005-0000-0000-0000A56D0000}"/>
    <cellStyle name="Normal 358 3 2 4" xfId="28070" xr:uid="{00000000-0005-0000-0000-0000A66D0000}"/>
    <cellStyle name="Normal 358 3 3" xfId="28071" xr:uid="{00000000-0005-0000-0000-0000A76D0000}"/>
    <cellStyle name="Normal 358 3 3 2" xfId="28072" xr:uid="{00000000-0005-0000-0000-0000A86D0000}"/>
    <cellStyle name="Normal 358 3 3 2 2" xfId="28073" xr:uid="{00000000-0005-0000-0000-0000A96D0000}"/>
    <cellStyle name="Normal 358 3 3 3" xfId="28074" xr:uid="{00000000-0005-0000-0000-0000AA6D0000}"/>
    <cellStyle name="Normal 358 3 4" xfId="28075" xr:uid="{00000000-0005-0000-0000-0000AB6D0000}"/>
    <cellStyle name="Normal 358 3 4 2" xfId="28076" xr:uid="{00000000-0005-0000-0000-0000AC6D0000}"/>
    <cellStyle name="Normal 358 3 4 2 2" xfId="28077" xr:uid="{00000000-0005-0000-0000-0000AD6D0000}"/>
    <cellStyle name="Normal 358 3 4 3" xfId="28078" xr:uid="{00000000-0005-0000-0000-0000AE6D0000}"/>
    <cellStyle name="Normal 358 3 5" xfId="28079" xr:uid="{00000000-0005-0000-0000-0000AF6D0000}"/>
    <cellStyle name="Normal 358 3 5 2" xfId="28080" xr:uid="{00000000-0005-0000-0000-0000B06D0000}"/>
    <cellStyle name="Normal 358 3 5 2 2" xfId="28081" xr:uid="{00000000-0005-0000-0000-0000B16D0000}"/>
    <cellStyle name="Normal 358 3 5 3" xfId="28082" xr:uid="{00000000-0005-0000-0000-0000B26D0000}"/>
    <cellStyle name="Normal 358 3 6" xfId="28083" xr:uid="{00000000-0005-0000-0000-0000B36D0000}"/>
    <cellStyle name="Normal 358 4" xfId="28084" xr:uid="{00000000-0005-0000-0000-0000B46D0000}"/>
    <cellStyle name="Normal 358 4 2" xfId="28085" xr:uid="{00000000-0005-0000-0000-0000B56D0000}"/>
    <cellStyle name="Normal 358 4 2 2" xfId="28086" xr:uid="{00000000-0005-0000-0000-0000B66D0000}"/>
    <cellStyle name="Normal 358 4 3" xfId="28087" xr:uid="{00000000-0005-0000-0000-0000B76D0000}"/>
    <cellStyle name="Normal 358 5" xfId="28088" xr:uid="{00000000-0005-0000-0000-0000B86D0000}"/>
    <cellStyle name="Normal 358 5 2" xfId="28089" xr:uid="{00000000-0005-0000-0000-0000B96D0000}"/>
    <cellStyle name="Normal 358 5 2 2" xfId="28090" xr:uid="{00000000-0005-0000-0000-0000BA6D0000}"/>
    <cellStyle name="Normal 358 5 3" xfId="28091" xr:uid="{00000000-0005-0000-0000-0000BB6D0000}"/>
    <cellStyle name="Normal 358 6" xfId="28092" xr:uid="{00000000-0005-0000-0000-0000BC6D0000}"/>
    <cellStyle name="Normal 358 6 2" xfId="28093" xr:uid="{00000000-0005-0000-0000-0000BD6D0000}"/>
    <cellStyle name="Normal 358 6 2 2" xfId="28094" xr:uid="{00000000-0005-0000-0000-0000BE6D0000}"/>
    <cellStyle name="Normal 358 6 3" xfId="28095" xr:uid="{00000000-0005-0000-0000-0000BF6D0000}"/>
    <cellStyle name="Normal 358 7" xfId="28096" xr:uid="{00000000-0005-0000-0000-0000C06D0000}"/>
    <cellStyle name="Normal 359" xfId="28097" xr:uid="{00000000-0005-0000-0000-0000C16D0000}"/>
    <cellStyle name="Normal 359 2" xfId="28098" xr:uid="{00000000-0005-0000-0000-0000C26D0000}"/>
    <cellStyle name="Normal 359 2 2" xfId="28099" xr:uid="{00000000-0005-0000-0000-0000C36D0000}"/>
    <cellStyle name="Normal 359 2 2 2" xfId="28100" xr:uid="{00000000-0005-0000-0000-0000C46D0000}"/>
    <cellStyle name="Normal 359 2 3" xfId="28101" xr:uid="{00000000-0005-0000-0000-0000C56D0000}"/>
    <cellStyle name="Normal 359 2 3 2" xfId="28102" xr:uid="{00000000-0005-0000-0000-0000C66D0000}"/>
    <cellStyle name="Normal 359 2 3 2 2" xfId="28103" xr:uid="{00000000-0005-0000-0000-0000C76D0000}"/>
    <cellStyle name="Normal 359 2 3 3" xfId="28104" xr:uid="{00000000-0005-0000-0000-0000C86D0000}"/>
    <cellStyle name="Normal 359 2 4" xfId="28105" xr:uid="{00000000-0005-0000-0000-0000C96D0000}"/>
    <cellStyle name="Normal 359 2 4 2" xfId="28106" xr:uid="{00000000-0005-0000-0000-0000CA6D0000}"/>
    <cellStyle name="Normal 359 2 4 2 2" xfId="28107" xr:uid="{00000000-0005-0000-0000-0000CB6D0000}"/>
    <cellStyle name="Normal 359 2 4 3" xfId="28108" xr:uid="{00000000-0005-0000-0000-0000CC6D0000}"/>
    <cellStyle name="Normal 359 2 5" xfId="28109" xr:uid="{00000000-0005-0000-0000-0000CD6D0000}"/>
    <cellStyle name="Normal 359 3" xfId="28110" xr:uid="{00000000-0005-0000-0000-0000CE6D0000}"/>
    <cellStyle name="Normal 359 3 2" xfId="28111" xr:uid="{00000000-0005-0000-0000-0000CF6D0000}"/>
    <cellStyle name="Normal 359 3 2 2" xfId="28112" xr:uid="{00000000-0005-0000-0000-0000D06D0000}"/>
    <cellStyle name="Normal 359 3 2 2 2" xfId="28113" xr:uid="{00000000-0005-0000-0000-0000D16D0000}"/>
    <cellStyle name="Normal 359 3 2 3" xfId="28114" xr:uid="{00000000-0005-0000-0000-0000D26D0000}"/>
    <cellStyle name="Normal 359 3 2 3 2" xfId="28115" xr:uid="{00000000-0005-0000-0000-0000D36D0000}"/>
    <cellStyle name="Normal 359 3 2 3 2 2" xfId="28116" xr:uid="{00000000-0005-0000-0000-0000D46D0000}"/>
    <cellStyle name="Normal 359 3 2 3 3" xfId="28117" xr:uid="{00000000-0005-0000-0000-0000D56D0000}"/>
    <cellStyle name="Normal 359 3 2 4" xfId="28118" xr:uid="{00000000-0005-0000-0000-0000D66D0000}"/>
    <cellStyle name="Normal 359 3 3" xfId="28119" xr:uid="{00000000-0005-0000-0000-0000D76D0000}"/>
    <cellStyle name="Normal 359 3 3 2" xfId="28120" xr:uid="{00000000-0005-0000-0000-0000D86D0000}"/>
    <cellStyle name="Normal 359 3 3 2 2" xfId="28121" xr:uid="{00000000-0005-0000-0000-0000D96D0000}"/>
    <cellStyle name="Normal 359 3 3 3" xfId="28122" xr:uid="{00000000-0005-0000-0000-0000DA6D0000}"/>
    <cellStyle name="Normal 359 3 4" xfId="28123" xr:uid="{00000000-0005-0000-0000-0000DB6D0000}"/>
    <cellStyle name="Normal 359 3 4 2" xfId="28124" xr:uid="{00000000-0005-0000-0000-0000DC6D0000}"/>
    <cellStyle name="Normal 359 3 4 2 2" xfId="28125" xr:uid="{00000000-0005-0000-0000-0000DD6D0000}"/>
    <cellStyle name="Normal 359 3 4 3" xfId="28126" xr:uid="{00000000-0005-0000-0000-0000DE6D0000}"/>
    <cellStyle name="Normal 359 3 5" xfId="28127" xr:uid="{00000000-0005-0000-0000-0000DF6D0000}"/>
    <cellStyle name="Normal 359 3 5 2" xfId="28128" xr:uid="{00000000-0005-0000-0000-0000E06D0000}"/>
    <cellStyle name="Normal 359 3 5 2 2" xfId="28129" xr:uid="{00000000-0005-0000-0000-0000E16D0000}"/>
    <cellStyle name="Normal 359 3 5 3" xfId="28130" xr:uid="{00000000-0005-0000-0000-0000E26D0000}"/>
    <cellStyle name="Normal 359 3 6" xfId="28131" xr:uid="{00000000-0005-0000-0000-0000E36D0000}"/>
    <cellStyle name="Normal 359 4" xfId="28132" xr:uid="{00000000-0005-0000-0000-0000E46D0000}"/>
    <cellStyle name="Normal 359 4 2" xfId="28133" xr:uid="{00000000-0005-0000-0000-0000E56D0000}"/>
    <cellStyle name="Normal 359 4 2 2" xfId="28134" xr:uid="{00000000-0005-0000-0000-0000E66D0000}"/>
    <cellStyle name="Normal 359 4 3" xfId="28135" xr:uid="{00000000-0005-0000-0000-0000E76D0000}"/>
    <cellStyle name="Normal 359 5" xfId="28136" xr:uid="{00000000-0005-0000-0000-0000E86D0000}"/>
    <cellStyle name="Normal 359 5 2" xfId="28137" xr:uid="{00000000-0005-0000-0000-0000E96D0000}"/>
    <cellStyle name="Normal 359 5 2 2" xfId="28138" xr:uid="{00000000-0005-0000-0000-0000EA6D0000}"/>
    <cellStyle name="Normal 359 5 3" xfId="28139" xr:uid="{00000000-0005-0000-0000-0000EB6D0000}"/>
    <cellStyle name="Normal 359 6" xfId="28140" xr:uid="{00000000-0005-0000-0000-0000EC6D0000}"/>
    <cellStyle name="Normal 359 6 2" xfId="28141" xr:uid="{00000000-0005-0000-0000-0000ED6D0000}"/>
    <cellStyle name="Normal 359 6 2 2" xfId="28142" xr:uid="{00000000-0005-0000-0000-0000EE6D0000}"/>
    <cellStyle name="Normal 359 6 3" xfId="28143" xr:uid="{00000000-0005-0000-0000-0000EF6D0000}"/>
    <cellStyle name="Normal 359 7" xfId="28144" xr:uid="{00000000-0005-0000-0000-0000F06D0000}"/>
    <cellStyle name="Normal 36" xfId="28145" xr:uid="{00000000-0005-0000-0000-0000F16D0000}"/>
    <cellStyle name="Normal 36 2" xfId="28146" xr:uid="{00000000-0005-0000-0000-0000F26D0000}"/>
    <cellStyle name="Normal 36 2 2" xfId="28147" xr:uid="{00000000-0005-0000-0000-0000F36D0000}"/>
    <cellStyle name="Normal 36 2 2 2" xfId="28148" xr:uid="{00000000-0005-0000-0000-0000F46D0000}"/>
    <cellStyle name="Normal 36 2 2 2 2" xfId="28149" xr:uid="{00000000-0005-0000-0000-0000F56D0000}"/>
    <cellStyle name="Normal 36 2 2 3" xfId="28150" xr:uid="{00000000-0005-0000-0000-0000F66D0000}"/>
    <cellStyle name="Normal 36 2 2 3 2" xfId="28151" xr:uid="{00000000-0005-0000-0000-0000F76D0000}"/>
    <cellStyle name="Normal 36 2 2 3 2 2" xfId="28152" xr:uid="{00000000-0005-0000-0000-0000F86D0000}"/>
    <cellStyle name="Normal 36 2 2 3 3" xfId="28153" xr:uid="{00000000-0005-0000-0000-0000F96D0000}"/>
    <cellStyle name="Normal 36 2 2 4" xfId="28154" xr:uid="{00000000-0005-0000-0000-0000FA6D0000}"/>
    <cellStyle name="Normal 36 2 2 4 2" xfId="28155" xr:uid="{00000000-0005-0000-0000-0000FB6D0000}"/>
    <cellStyle name="Normal 36 2 2 4 2 2" xfId="28156" xr:uid="{00000000-0005-0000-0000-0000FC6D0000}"/>
    <cellStyle name="Normal 36 2 2 4 3" xfId="28157" xr:uid="{00000000-0005-0000-0000-0000FD6D0000}"/>
    <cellStyle name="Normal 36 2 2 5" xfId="28158" xr:uid="{00000000-0005-0000-0000-0000FE6D0000}"/>
    <cellStyle name="Normal 36 2 3" xfId="28159" xr:uid="{00000000-0005-0000-0000-0000FF6D0000}"/>
    <cellStyle name="Normal 36 2 3 2" xfId="28160" xr:uid="{00000000-0005-0000-0000-0000006E0000}"/>
    <cellStyle name="Normal 36 2 3 2 2" xfId="28161" xr:uid="{00000000-0005-0000-0000-0000016E0000}"/>
    <cellStyle name="Normal 36 2 3 3" xfId="28162" xr:uid="{00000000-0005-0000-0000-0000026E0000}"/>
    <cellStyle name="Normal 36 2 4" xfId="28163" xr:uid="{00000000-0005-0000-0000-0000036E0000}"/>
    <cellStyle name="Normal 36 2 4 2" xfId="28164" xr:uid="{00000000-0005-0000-0000-0000046E0000}"/>
    <cellStyle name="Normal 36 2 4 2 2" xfId="28165" xr:uid="{00000000-0005-0000-0000-0000056E0000}"/>
    <cellStyle name="Normal 36 2 4 3" xfId="28166" xr:uid="{00000000-0005-0000-0000-0000066E0000}"/>
    <cellStyle name="Normal 36 2 5" xfId="28167" xr:uid="{00000000-0005-0000-0000-0000076E0000}"/>
    <cellStyle name="Normal 36 2 5 2" xfId="28168" xr:uid="{00000000-0005-0000-0000-0000086E0000}"/>
    <cellStyle name="Normal 36 2 5 2 2" xfId="28169" xr:uid="{00000000-0005-0000-0000-0000096E0000}"/>
    <cellStyle name="Normal 36 2 5 3" xfId="28170" xr:uid="{00000000-0005-0000-0000-00000A6E0000}"/>
    <cellStyle name="Normal 36 2 6" xfId="28171" xr:uid="{00000000-0005-0000-0000-00000B6E0000}"/>
    <cellStyle name="Normal 36 3" xfId="28172" xr:uid="{00000000-0005-0000-0000-00000C6E0000}"/>
    <cellStyle name="Normal 36 3 2" xfId="28173" xr:uid="{00000000-0005-0000-0000-00000D6E0000}"/>
    <cellStyle name="Normal 36 3 2 2" xfId="28174" xr:uid="{00000000-0005-0000-0000-00000E6E0000}"/>
    <cellStyle name="Normal 36 3 3" xfId="28175" xr:uid="{00000000-0005-0000-0000-00000F6E0000}"/>
    <cellStyle name="Normal 36 3 3 2" xfId="28176" xr:uid="{00000000-0005-0000-0000-0000106E0000}"/>
    <cellStyle name="Normal 36 3 3 2 2" xfId="28177" xr:uid="{00000000-0005-0000-0000-0000116E0000}"/>
    <cellStyle name="Normal 36 3 3 3" xfId="28178" xr:uid="{00000000-0005-0000-0000-0000126E0000}"/>
    <cellStyle name="Normal 36 3 4" xfId="28179" xr:uid="{00000000-0005-0000-0000-0000136E0000}"/>
    <cellStyle name="Normal 36 3 4 2" xfId="28180" xr:uid="{00000000-0005-0000-0000-0000146E0000}"/>
    <cellStyle name="Normal 36 3 4 2 2" xfId="28181" xr:uid="{00000000-0005-0000-0000-0000156E0000}"/>
    <cellStyle name="Normal 36 3 4 3" xfId="28182" xr:uid="{00000000-0005-0000-0000-0000166E0000}"/>
    <cellStyle name="Normal 36 3 5" xfId="28183" xr:uid="{00000000-0005-0000-0000-0000176E0000}"/>
    <cellStyle name="Normal 36 4" xfId="28184" xr:uid="{00000000-0005-0000-0000-0000186E0000}"/>
    <cellStyle name="Normal 36 4 2" xfId="28185" xr:uid="{00000000-0005-0000-0000-0000196E0000}"/>
    <cellStyle name="Normal 36 4 2 2" xfId="28186" xr:uid="{00000000-0005-0000-0000-00001A6E0000}"/>
    <cellStyle name="Normal 36 4 3" xfId="28187" xr:uid="{00000000-0005-0000-0000-00001B6E0000}"/>
    <cellStyle name="Normal 36 5" xfId="28188" xr:uid="{00000000-0005-0000-0000-00001C6E0000}"/>
    <cellStyle name="Normal 36 5 2" xfId="28189" xr:uid="{00000000-0005-0000-0000-00001D6E0000}"/>
    <cellStyle name="Normal 36 5 2 2" xfId="28190" xr:uid="{00000000-0005-0000-0000-00001E6E0000}"/>
    <cellStyle name="Normal 36 5 3" xfId="28191" xr:uid="{00000000-0005-0000-0000-00001F6E0000}"/>
    <cellStyle name="Normal 36 6" xfId="28192" xr:uid="{00000000-0005-0000-0000-0000206E0000}"/>
    <cellStyle name="Normal 36 6 2" xfId="28193" xr:uid="{00000000-0005-0000-0000-0000216E0000}"/>
    <cellStyle name="Normal 36 6 2 2" xfId="28194" xr:uid="{00000000-0005-0000-0000-0000226E0000}"/>
    <cellStyle name="Normal 36 6 3" xfId="28195" xr:uid="{00000000-0005-0000-0000-0000236E0000}"/>
    <cellStyle name="Normal 36 7" xfId="28196" xr:uid="{00000000-0005-0000-0000-0000246E0000}"/>
    <cellStyle name="Normal 360" xfId="28197" xr:uid="{00000000-0005-0000-0000-0000256E0000}"/>
    <cellStyle name="Normal 360 2" xfId="28198" xr:uid="{00000000-0005-0000-0000-0000266E0000}"/>
    <cellStyle name="Normal 360 2 2" xfId="28199" xr:uid="{00000000-0005-0000-0000-0000276E0000}"/>
    <cellStyle name="Normal 360 2 2 2" xfId="28200" xr:uid="{00000000-0005-0000-0000-0000286E0000}"/>
    <cellStyle name="Normal 360 2 3" xfId="28201" xr:uid="{00000000-0005-0000-0000-0000296E0000}"/>
    <cellStyle name="Normal 360 2 3 2" xfId="28202" xr:uid="{00000000-0005-0000-0000-00002A6E0000}"/>
    <cellStyle name="Normal 360 2 3 2 2" xfId="28203" xr:uid="{00000000-0005-0000-0000-00002B6E0000}"/>
    <cellStyle name="Normal 360 2 3 3" xfId="28204" xr:uid="{00000000-0005-0000-0000-00002C6E0000}"/>
    <cellStyle name="Normal 360 2 4" xfId="28205" xr:uid="{00000000-0005-0000-0000-00002D6E0000}"/>
    <cellStyle name="Normal 360 2 4 2" xfId="28206" xr:uid="{00000000-0005-0000-0000-00002E6E0000}"/>
    <cellStyle name="Normal 360 2 4 2 2" xfId="28207" xr:uid="{00000000-0005-0000-0000-00002F6E0000}"/>
    <cellStyle name="Normal 360 2 4 3" xfId="28208" xr:uid="{00000000-0005-0000-0000-0000306E0000}"/>
    <cellStyle name="Normal 360 2 5" xfId="28209" xr:uid="{00000000-0005-0000-0000-0000316E0000}"/>
    <cellStyle name="Normal 360 3" xfId="28210" xr:uid="{00000000-0005-0000-0000-0000326E0000}"/>
    <cellStyle name="Normal 360 3 2" xfId="28211" xr:uid="{00000000-0005-0000-0000-0000336E0000}"/>
    <cellStyle name="Normal 360 3 2 2" xfId="28212" xr:uid="{00000000-0005-0000-0000-0000346E0000}"/>
    <cellStyle name="Normal 360 3 2 2 2" xfId="28213" xr:uid="{00000000-0005-0000-0000-0000356E0000}"/>
    <cellStyle name="Normal 360 3 2 3" xfId="28214" xr:uid="{00000000-0005-0000-0000-0000366E0000}"/>
    <cellStyle name="Normal 360 3 2 3 2" xfId="28215" xr:uid="{00000000-0005-0000-0000-0000376E0000}"/>
    <cellStyle name="Normal 360 3 2 3 2 2" xfId="28216" xr:uid="{00000000-0005-0000-0000-0000386E0000}"/>
    <cellStyle name="Normal 360 3 2 3 3" xfId="28217" xr:uid="{00000000-0005-0000-0000-0000396E0000}"/>
    <cellStyle name="Normal 360 3 2 4" xfId="28218" xr:uid="{00000000-0005-0000-0000-00003A6E0000}"/>
    <cellStyle name="Normal 360 3 3" xfId="28219" xr:uid="{00000000-0005-0000-0000-00003B6E0000}"/>
    <cellStyle name="Normal 360 3 3 2" xfId="28220" xr:uid="{00000000-0005-0000-0000-00003C6E0000}"/>
    <cellStyle name="Normal 360 3 3 2 2" xfId="28221" xr:uid="{00000000-0005-0000-0000-00003D6E0000}"/>
    <cellStyle name="Normal 360 3 3 3" xfId="28222" xr:uid="{00000000-0005-0000-0000-00003E6E0000}"/>
    <cellStyle name="Normal 360 3 4" xfId="28223" xr:uid="{00000000-0005-0000-0000-00003F6E0000}"/>
    <cellStyle name="Normal 360 3 4 2" xfId="28224" xr:uid="{00000000-0005-0000-0000-0000406E0000}"/>
    <cellStyle name="Normal 360 3 4 2 2" xfId="28225" xr:uid="{00000000-0005-0000-0000-0000416E0000}"/>
    <cellStyle name="Normal 360 3 4 3" xfId="28226" xr:uid="{00000000-0005-0000-0000-0000426E0000}"/>
    <cellStyle name="Normal 360 3 5" xfId="28227" xr:uid="{00000000-0005-0000-0000-0000436E0000}"/>
    <cellStyle name="Normal 360 3 5 2" xfId="28228" xr:uid="{00000000-0005-0000-0000-0000446E0000}"/>
    <cellStyle name="Normal 360 3 5 2 2" xfId="28229" xr:uid="{00000000-0005-0000-0000-0000456E0000}"/>
    <cellStyle name="Normal 360 3 5 3" xfId="28230" xr:uid="{00000000-0005-0000-0000-0000466E0000}"/>
    <cellStyle name="Normal 360 3 6" xfId="28231" xr:uid="{00000000-0005-0000-0000-0000476E0000}"/>
    <cellStyle name="Normal 360 4" xfId="28232" xr:uid="{00000000-0005-0000-0000-0000486E0000}"/>
    <cellStyle name="Normal 360 4 2" xfId="28233" xr:uid="{00000000-0005-0000-0000-0000496E0000}"/>
    <cellStyle name="Normal 360 4 2 2" xfId="28234" xr:uid="{00000000-0005-0000-0000-00004A6E0000}"/>
    <cellStyle name="Normal 360 4 3" xfId="28235" xr:uid="{00000000-0005-0000-0000-00004B6E0000}"/>
    <cellStyle name="Normal 360 5" xfId="28236" xr:uid="{00000000-0005-0000-0000-00004C6E0000}"/>
    <cellStyle name="Normal 360 5 2" xfId="28237" xr:uid="{00000000-0005-0000-0000-00004D6E0000}"/>
    <cellStyle name="Normal 360 5 2 2" xfId="28238" xr:uid="{00000000-0005-0000-0000-00004E6E0000}"/>
    <cellStyle name="Normal 360 5 3" xfId="28239" xr:uid="{00000000-0005-0000-0000-00004F6E0000}"/>
    <cellStyle name="Normal 360 6" xfId="28240" xr:uid="{00000000-0005-0000-0000-0000506E0000}"/>
    <cellStyle name="Normal 360 6 2" xfId="28241" xr:uid="{00000000-0005-0000-0000-0000516E0000}"/>
    <cellStyle name="Normal 360 6 2 2" xfId="28242" xr:uid="{00000000-0005-0000-0000-0000526E0000}"/>
    <cellStyle name="Normal 360 6 3" xfId="28243" xr:uid="{00000000-0005-0000-0000-0000536E0000}"/>
    <cellStyle name="Normal 360 7" xfId="28244" xr:uid="{00000000-0005-0000-0000-0000546E0000}"/>
    <cellStyle name="Normal 361" xfId="28245" xr:uid="{00000000-0005-0000-0000-0000556E0000}"/>
    <cellStyle name="Normal 361 2" xfId="28246" xr:uid="{00000000-0005-0000-0000-0000566E0000}"/>
    <cellStyle name="Normal 361 2 2" xfId="28247" xr:uid="{00000000-0005-0000-0000-0000576E0000}"/>
    <cellStyle name="Normal 361 2 2 2" xfId="28248" xr:uid="{00000000-0005-0000-0000-0000586E0000}"/>
    <cellStyle name="Normal 361 2 3" xfId="28249" xr:uid="{00000000-0005-0000-0000-0000596E0000}"/>
    <cellStyle name="Normal 361 2 3 2" xfId="28250" xr:uid="{00000000-0005-0000-0000-00005A6E0000}"/>
    <cellStyle name="Normal 361 2 3 2 2" xfId="28251" xr:uid="{00000000-0005-0000-0000-00005B6E0000}"/>
    <cellStyle name="Normal 361 2 3 3" xfId="28252" xr:uid="{00000000-0005-0000-0000-00005C6E0000}"/>
    <cellStyle name="Normal 361 2 4" xfId="28253" xr:uid="{00000000-0005-0000-0000-00005D6E0000}"/>
    <cellStyle name="Normal 361 2 4 2" xfId="28254" xr:uid="{00000000-0005-0000-0000-00005E6E0000}"/>
    <cellStyle name="Normal 361 2 4 2 2" xfId="28255" xr:uid="{00000000-0005-0000-0000-00005F6E0000}"/>
    <cellStyle name="Normal 361 2 4 3" xfId="28256" xr:uid="{00000000-0005-0000-0000-0000606E0000}"/>
    <cellStyle name="Normal 361 2 5" xfId="28257" xr:uid="{00000000-0005-0000-0000-0000616E0000}"/>
    <cellStyle name="Normal 361 3" xfId="28258" xr:uid="{00000000-0005-0000-0000-0000626E0000}"/>
    <cellStyle name="Normal 361 3 2" xfId="28259" xr:uid="{00000000-0005-0000-0000-0000636E0000}"/>
    <cellStyle name="Normal 361 3 2 2" xfId="28260" xr:uid="{00000000-0005-0000-0000-0000646E0000}"/>
    <cellStyle name="Normal 361 3 2 2 2" xfId="28261" xr:uid="{00000000-0005-0000-0000-0000656E0000}"/>
    <cellStyle name="Normal 361 3 2 3" xfId="28262" xr:uid="{00000000-0005-0000-0000-0000666E0000}"/>
    <cellStyle name="Normal 361 3 2 3 2" xfId="28263" xr:uid="{00000000-0005-0000-0000-0000676E0000}"/>
    <cellStyle name="Normal 361 3 2 3 2 2" xfId="28264" xr:uid="{00000000-0005-0000-0000-0000686E0000}"/>
    <cellStyle name="Normal 361 3 2 3 3" xfId="28265" xr:uid="{00000000-0005-0000-0000-0000696E0000}"/>
    <cellStyle name="Normal 361 3 2 4" xfId="28266" xr:uid="{00000000-0005-0000-0000-00006A6E0000}"/>
    <cellStyle name="Normal 361 3 3" xfId="28267" xr:uid="{00000000-0005-0000-0000-00006B6E0000}"/>
    <cellStyle name="Normal 361 3 3 2" xfId="28268" xr:uid="{00000000-0005-0000-0000-00006C6E0000}"/>
    <cellStyle name="Normal 361 3 3 2 2" xfId="28269" xr:uid="{00000000-0005-0000-0000-00006D6E0000}"/>
    <cellStyle name="Normal 361 3 3 3" xfId="28270" xr:uid="{00000000-0005-0000-0000-00006E6E0000}"/>
    <cellStyle name="Normal 361 3 4" xfId="28271" xr:uid="{00000000-0005-0000-0000-00006F6E0000}"/>
    <cellStyle name="Normal 361 3 4 2" xfId="28272" xr:uid="{00000000-0005-0000-0000-0000706E0000}"/>
    <cellStyle name="Normal 361 3 4 2 2" xfId="28273" xr:uid="{00000000-0005-0000-0000-0000716E0000}"/>
    <cellStyle name="Normal 361 3 4 3" xfId="28274" xr:uid="{00000000-0005-0000-0000-0000726E0000}"/>
    <cellStyle name="Normal 361 3 5" xfId="28275" xr:uid="{00000000-0005-0000-0000-0000736E0000}"/>
    <cellStyle name="Normal 361 3 5 2" xfId="28276" xr:uid="{00000000-0005-0000-0000-0000746E0000}"/>
    <cellStyle name="Normal 361 3 5 2 2" xfId="28277" xr:uid="{00000000-0005-0000-0000-0000756E0000}"/>
    <cellStyle name="Normal 361 3 5 3" xfId="28278" xr:uid="{00000000-0005-0000-0000-0000766E0000}"/>
    <cellStyle name="Normal 361 3 6" xfId="28279" xr:uid="{00000000-0005-0000-0000-0000776E0000}"/>
    <cellStyle name="Normal 361 4" xfId="28280" xr:uid="{00000000-0005-0000-0000-0000786E0000}"/>
    <cellStyle name="Normal 361 4 2" xfId="28281" xr:uid="{00000000-0005-0000-0000-0000796E0000}"/>
    <cellStyle name="Normal 361 4 2 2" xfId="28282" xr:uid="{00000000-0005-0000-0000-00007A6E0000}"/>
    <cellStyle name="Normal 361 4 3" xfId="28283" xr:uid="{00000000-0005-0000-0000-00007B6E0000}"/>
    <cellStyle name="Normal 361 5" xfId="28284" xr:uid="{00000000-0005-0000-0000-00007C6E0000}"/>
    <cellStyle name="Normal 361 5 2" xfId="28285" xr:uid="{00000000-0005-0000-0000-00007D6E0000}"/>
    <cellStyle name="Normal 361 5 2 2" xfId="28286" xr:uid="{00000000-0005-0000-0000-00007E6E0000}"/>
    <cellStyle name="Normal 361 5 3" xfId="28287" xr:uid="{00000000-0005-0000-0000-00007F6E0000}"/>
    <cellStyle name="Normal 361 6" xfId="28288" xr:uid="{00000000-0005-0000-0000-0000806E0000}"/>
    <cellStyle name="Normal 361 6 2" xfId="28289" xr:uid="{00000000-0005-0000-0000-0000816E0000}"/>
    <cellStyle name="Normal 361 6 2 2" xfId="28290" xr:uid="{00000000-0005-0000-0000-0000826E0000}"/>
    <cellStyle name="Normal 361 6 3" xfId="28291" xr:uid="{00000000-0005-0000-0000-0000836E0000}"/>
    <cellStyle name="Normal 361 7" xfId="28292" xr:uid="{00000000-0005-0000-0000-0000846E0000}"/>
    <cellStyle name="Normal 362" xfId="28293" xr:uid="{00000000-0005-0000-0000-0000856E0000}"/>
    <cellStyle name="Normal 362 2" xfId="28294" xr:uid="{00000000-0005-0000-0000-0000866E0000}"/>
    <cellStyle name="Normal 362 2 2" xfId="28295" xr:uid="{00000000-0005-0000-0000-0000876E0000}"/>
    <cellStyle name="Normal 362 2 2 2" xfId="28296" xr:uid="{00000000-0005-0000-0000-0000886E0000}"/>
    <cellStyle name="Normal 362 2 3" xfId="28297" xr:uid="{00000000-0005-0000-0000-0000896E0000}"/>
    <cellStyle name="Normal 362 2 3 2" xfId="28298" xr:uid="{00000000-0005-0000-0000-00008A6E0000}"/>
    <cellStyle name="Normal 362 2 3 2 2" xfId="28299" xr:uid="{00000000-0005-0000-0000-00008B6E0000}"/>
    <cellStyle name="Normal 362 2 3 3" xfId="28300" xr:uid="{00000000-0005-0000-0000-00008C6E0000}"/>
    <cellStyle name="Normal 362 2 4" xfId="28301" xr:uid="{00000000-0005-0000-0000-00008D6E0000}"/>
    <cellStyle name="Normal 362 2 4 2" xfId="28302" xr:uid="{00000000-0005-0000-0000-00008E6E0000}"/>
    <cellStyle name="Normal 362 2 4 2 2" xfId="28303" xr:uid="{00000000-0005-0000-0000-00008F6E0000}"/>
    <cellStyle name="Normal 362 2 4 3" xfId="28304" xr:uid="{00000000-0005-0000-0000-0000906E0000}"/>
    <cellStyle name="Normal 362 2 5" xfId="28305" xr:uid="{00000000-0005-0000-0000-0000916E0000}"/>
    <cellStyle name="Normal 362 3" xfId="28306" xr:uid="{00000000-0005-0000-0000-0000926E0000}"/>
    <cellStyle name="Normal 362 3 2" xfId="28307" xr:uid="{00000000-0005-0000-0000-0000936E0000}"/>
    <cellStyle name="Normal 362 3 2 2" xfId="28308" xr:uid="{00000000-0005-0000-0000-0000946E0000}"/>
    <cellStyle name="Normal 362 3 2 2 2" xfId="28309" xr:uid="{00000000-0005-0000-0000-0000956E0000}"/>
    <cellStyle name="Normal 362 3 2 3" xfId="28310" xr:uid="{00000000-0005-0000-0000-0000966E0000}"/>
    <cellStyle name="Normal 362 3 2 3 2" xfId="28311" xr:uid="{00000000-0005-0000-0000-0000976E0000}"/>
    <cellStyle name="Normal 362 3 2 3 2 2" xfId="28312" xr:uid="{00000000-0005-0000-0000-0000986E0000}"/>
    <cellStyle name="Normal 362 3 2 3 3" xfId="28313" xr:uid="{00000000-0005-0000-0000-0000996E0000}"/>
    <cellStyle name="Normal 362 3 2 4" xfId="28314" xr:uid="{00000000-0005-0000-0000-00009A6E0000}"/>
    <cellStyle name="Normal 362 3 3" xfId="28315" xr:uid="{00000000-0005-0000-0000-00009B6E0000}"/>
    <cellStyle name="Normal 362 3 3 2" xfId="28316" xr:uid="{00000000-0005-0000-0000-00009C6E0000}"/>
    <cellStyle name="Normal 362 3 3 2 2" xfId="28317" xr:uid="{00000000-0005-0000-0000-00009D6E0000}"/>
    <cellStyle name="Normal 362 3 3 3" xfId="28318" xr:uid="{00000000-0005-0000-0000-00009E6E0000}"/>
    <cellStyle name="Normal 362 3 4" xfId="28319" xr:uid="{00000000-0005-0000-0000-00009F6E0000}"/>
    <cellStyle name="Normal 362 3 4 2" xfId="28320" xr:uid="{00000000-0005-0000-0000-0000A06E0000}"/>
    <cellStyle name="Normal 362 3 4 2 2" xfId="28321" xr:uid="{00000000-0005-0000-0000-0000A16E0000}"/>
    <cellStyle name="Normal 362 3 4 3" xfId="28322" xr:uid="{00000000-0005-0000-0000-0000A26E0000}"/>
    <cellStyle name="Normal 362 3 5" xfId="28323" xr:uid="{00000000-0005-0000-0000-0000A36E0000}"/>
    <cellStyle name="Normal 362 3 5 2" xfId="28324" xr:uid="{00000000-0005-0000-0000-0000A46E0000}"/>
    <cellStyle name="Normal 362 3 5 2 2" xfId="28325" xr:uid="{00000000-0005-0000-0000-0000A56E0000}"/>
    <cellStyle name="Normal 362 3 5 3" xfId="28326" xr:uid="{00000000-0005-0000-0000-0000A66E0000}"/>
    <cellStyle name="Normal 362 3 6" xfId="28327" xr:uid="{00000000-0005-0000-0000-0000A76E0000}"/>
    <cellStyle name="Normal 362 4" xfId="28328" xr:uid="{00000000-0005-0000-0000-0000A86E0000}"/>
    <cellStyle name="Normal 362 4 2" xfId="28329" xr:uid="{00000000-0005-0000-0000-0000A96E0000}"/>
    <cellStyle name="Normal 362 4 2 2" xfId="28330" xr:uid="{00000000-0005-0000-0000-0000AA6E0000}"/>
    <cellStyle name="Normal 362 4 3" xfId="28331" xr:uid="{00000000-0005-0000-0000-0000AB6E0000}"/>
    <cellStyle name="Normal 362 5" xfId="28332" xr:uid="{00000000-0005-0000-0000-0000AC6E0000}"/>
    <cellStyle name="Normal 362 5 2" xfId="28333" xr:uid="{00000000-0005-0000-0000-0000AD6E0000}"/>
    <cellStyle name="Normal 362 5 2 2" xfId="28334" xr:uid="{00000000-0005-0000-0000-0000AE6E0000}"/>
    <cellStyle name="Normal 362 5 3" xfId="28335" xr:uid="{00000000-0005-0000-0000-0000AF6E0000}"/>
    <cellStyle name="Normal 362 6" xfId="28336" xr:uid="{00000000-0005-0000-0000-0000B06E0000}"/>
    <cellStyle name="Normal 362 6 2" xfId="28337" xr:uid="{00000000-0005-0000-0000-0000B16E0000}"/>
    <cellStyle name="Normal 362 6 2 2" xfId="28338" xr:uid="{00000000-0005-0000-0000-0000B26E0000}"/>
    <cellStyle name="Normal 362 6 3" xfId="28339" xr:uid="{00000000-0005-0000-0000-0000B36E0000}"/>
    <cellStyle name="Normal 362 7" xfId="28340" xr:uid="{00000000-0005-0000-0000-0000B46E0000}"/>
    <cellStyle name="Normal 363" xfId="28341" xr:uid="{00000000-0005-0000-0000-0000B56E0000}"/>
    <cellStyle name="Normal 363 2" xfId="28342" xr:uid="{00000000-0005-0000-0000-0000B66E0000}"/>
    <cellStyle name="Normal 363 2 2" xfId="28343" xr:uid="{00000000-0005-0000-0000-0000B76E0000}"/>
    <cellStyle name="Normal 363 2 2 2" xfId="28344" xr:uid="{00000000-0005-0000-0000-0000B86E0000}"/>
    <cellStyle name="Normal 363 2 3" xfId="28345" xr:uid="{00000000-0005-0000-0000-0000B96E0000}"/>
    <cellStyle name="Normal 363 2 3 2" xfId="28346" xr:uid="{00000000-0005-0000-0000-0000BA6E0000}"/>
    <cellStyle name="Normal 363 2 3 2 2" xfId="28347" xr:uid="{00000000-0005-0000-0000-0000BB6E0000}"/>
    <cellStyle name="Normal 363 2 3 3" xfId="28348" xr:uid="{00000000-0005-0000-0000-0000BC6E0000}"/>
    <cellStyle name="Normal 363 2 4" xfId="28349" xr:uid="{00000000-0005-0000-0000-0000BD6E0000}"/>
    <cellStyle name="Normal 363 2 4 2" xfId="28350" xr:uid="{00000000-0005-0000-0000-0000BE6E0000}"/>
    <cellStyle name="Normal 363 2 4 2 2" xfId="28351" xr:uid="{00000000-0005-0000-0000-0000BF6E0000}"/>
    <cellStyle name="Normal 363 2 4 3" xfId="28352" xr:uid="{00000000-0005-0000-0000-0000C06E0000}"/>
    <cellStyle name="Normal 363 2 5" xfId="28353" xr:uid="{00000000-0005-0000-0000-0000C16E0000}"/>
    <cellStyle name="Normal 363 3" xfId="28354" xr:uid="{00000000-0005-0000-0000-0000C26E0000}"/>
    <cellStyle name="Normal 363 3 2" xfId="28355" xr:uid="{00000000-0005-0000-0000-0000C36E0000}"/>
    <cellStyle name="Normal 363 3 2 2" xfId="28356" xr:uid="{00000000-0005-0000-0000-0000C46E0000}"/>
    <cellStyle name="Normal 363 3 2 2 2" xfId="28357" xr:uid="{00000000-0005-0000-0000-0000C56E0000}"/>
    <cellStyle name="Normal 363 3 2 3" xfId="28358" xr:uid="{00000000-0005-0000-0000-0000C66E0000}"/>
    <cellStyle name="Normal 363 3 2 3 2" xfId="28359" xr:uid="{00000000-0005-0000-0000-0000C76E0000}"/>
    <cellStyle name="Normal 363 3 2 3 2 2" xfId="28360" xr:uid="{00000000-0005-0000-0000-0000C86E0000}"/>
    <cellStyle name="Normal 363 3 2 3 3" xfId="28361" xr:uid="{00000000-0005-0000-0000-0000C96E0000}"/>
    <cellStyle name="Normal 363 3 2 4" xfId="28362" xr:uid="{00000000-0005-0000-0000-0000CA6E0000}"/>
    <cellStyle name="Normal 363 3 3" xfId="28363" xr:uid="{00000000-0005-0000-0000-0000CB6E0000}"/>
    <cellStyle name="Normal 363 3 3 2" xfId="28364" xr:uid="{00000000-0005-0000-0000-0000CC6E0000}"/>
    <cellStyle name="Normal 363 3 3 2 2" xfId="28365" xr:uid="{00000000-0005-0000-0000-0000CD6E0000}"/>
    <cellStyle name="Normal 363 3 3 3" xfId="28366" xr:uid="{00000000-0005-0000-0000-0000CE6E0000}"/>
    <cellStyle name="Normal 363 3 4" xfId="28367" xr:uid="{00000000-0005-0000-0000-0000CF6E0000}"/>
    <cellStyle name="Normal 363 3 4 2" xfId="28368" xr:uid="{00000000-0005-0000-0000-0000D06E0000}"/>
    <cellStyle name="Normal 363 3 4 2 2" xfId="28369" xr:uid="{00000000-0005-0000-0000-0000D16E0000}"/>
    <cellStyle name="Normal 363 3 4 3" xfId="28370" xr:uid="{00000000-0005-0000-0000-0000D26E0000}"/>
    <cellStyle name="Normal 363 3 5" xfId="28371" xr:uid="{00000000-0005-0000-0000-0000D36E0000}"/>
    <cellStyle name="Normal 363 3 5 2" xfId="28372" xr:uid="{00000000-0005-0000-0000-0000D46E0000}"/>
    <cellStyle name="Normal 363 3 5 2 2" xfId="28373" xr:uid="{00000000-0005-0000-0000-0000D56E0000}"/>
    <cellStyle name="Normal 363 3 5 3" xfId="28374" xr:uid="{00000000-0005-0000-0000-0000D66E0000}"/>
    <cellStyle name="Normal 363 3 6" xfId="28375" xr:uid="{00000000-0005-0000-0000-0000D76E0000}"/>
    <cellStyle name="Normal 363 4" xfId="28376" xr:uid="{00000000-0005-0000-0000-0000D86E0000}"/>
    <cellStyle name="Normal 363 4 2" xfId="28377" xr:uid="{00000000-0005-0000-0000-0000D96E0000}"/>
    <cellStyle name="Normal 363 4 2 2" xfId="28378" xr:uid="{00000000-0005-0000-0000-0000DA6E0000}"/>
    <cellStyle name="Normal 363 4 3" xfId="28379" xr:uid="{00000000-0005-0000-0000-0000DB6E0000}"/>
    <cellStyle name="Normal 363 5" xfId="28380" xr:uid="{00000000-0005-0000-0000-0000DC6E0000}"/>
    <cellStyle name="Normal 363 5 2" xfId="28381" xr:uid="{00000000-0005-0000-0000-0000DD6E0000}"/>
    <cellStyle name="Normal 363 5 2 2" xfId="28382" xr:uid="{00000000-0005-0000-0000-0000DE6E0000}"/>
    <cellStyle name="Normal 363 5 3" xfId="28383" xr:uid="{00000000-0005-0000-0000-0000DF6E0000}"/>
    <cellStyle name="Normal 363 6" xfId="28384" xr:uid="{00000000-0005-0000-0000-0000E06E0000}"/>
    <cellStyle name="Normal 363 6 2" xfId="28385" xr:uid="{00000000-0005-0000-0000-0000E16E0000}"/>
    <cellStyle name="Normal 363 6 2 2" xfId="28386" xr:uid="{00000000-0005-0000-0000-0000E26E0000}"/>
    <cellStyle name="Normal 363 6 3" xfId="28387" xr:uid="{00000000-0005-0000-0000-0000E36E0000}"/>
    <cellStyle name="Normal 363 7" xfId="28388" xr:uid="{00000000-0005-0000-0000-0000E46E0000}"/>
    <cellStyle name="Normal 364" xfId="28389" xr:uid="{00000000-0005-0000-0000-0000E56E0000}"/>
    <cellStyle name="Normal 364 2" xfId="28390" xr:uid="{00000000-0005-0000-0000-0000E66E0000}"/>
    <cellStyle name="Normal 364 2 2" xfId="28391" xr:uid="{00000000-0005-0000-0000-0000E76E0000}"/>
    <cellStyle name="Normal 364 2 2 2" xfId="28392" xr:uid="{00000000-0005-0000-0000-0000E86E0000}"/>
    <cellStyle name="Normal 364 2 3" xfId="28393" xr:uid="{00000000-0005-0000-0000-0000E96E0000}"/>
    <cellStyle name="Normal 364 2 3 2" xfId="28394" xr:uid="{00000000-0005-0000-0000-0000EA6E0000}"/>
    <cellStyle name="Normal 364 2 3 2 2" xfId="28395" xr:uid="{00000000-0005-0000-0000-0000EB6E0000}"/>
    <cellStyle name="Normal 364 2 3 3" xfId="28396" xr:uid="{00000000-0005-0000-0000-0000EC6E0000}"/>
    <cellStyle name="Normal 364 2 4" xfId="28397" xr:uid="{00000000-0005-0000-0000-0000ED6E0000}"/>
    <cellStyle name="Normal 364 2 4 2" xfId="28398" xr:uid="{00000000-0005-0000-0000-0000EE6E0000}"/>
    <cellStyle name="Normal 364 2 4 2 2" xfId="28399" xr:uid="{00000000-0005-0000-0000-0000EF6E0000}"/>
    <cellStyle name="Normal 364 2 4 3" xfId="28400" xr:uid="{00000000-0005-0000-0000-0000F06E0000}"/>
    <cellStyle name="Normal 364 2 5" xfId="28401" xr:uid="{00000000-0005-0000-0000-0000F16E0000}"/>
    <cellStyle name="Normal 364 3" xfId="28402" xr:uid="{00000000-0005-0000-0000-0000F26E0000}"/>
    <cellStyle name="Normal 364 3 2" xfId="28403" xr:uid="{00000000-0005-0000-0000-0000F36E0000}"/>
    <cellStyle name="Normal 364 3 2 2" xfId="28404" xr:uid="{00000000-0005-0000-0000-0000F46E0000}"/>
    <cellStyle name="Normal 364 3 2 2 2" xfId="28405" xr:uid="{00000000-0005-0000-0000-0000F56E0000}"/>
    <cellStyle name="Normal 364 3 2 3" xfId="28406" xr:uid="{00000000-0005-0000-0000-0000F66E0000}"/>
    <cellStyle name="Normal 364 3 2 3 2" xfId="28407" xr:uid="{00000000-0005-0000-0000-0000F76E0000}"/>
    <cellStyle name="Normal 364 3 2 3 2 2" xfId="28408" xr:uid="{00000000-0005-0000-0000-0000F86E0000}"/>
    <cellStyle name="Normal 364 3 2 3 3" xfId="28409" xr:uid="{00000000-0005-0000-0000-0000F96E0000}"/>
    <cellStyle name="Normal 364 3 2 4" xfId="28410" xr:uid="{00000000-0005-0000-0000-0000FA6E0000}"/>
    <cellStyle name="Normal 364 3 3" xfId="28411" xr:uid="{00000000-0005-0000-0000-0000FB6E0000}"/>
    <cellStyle name="Normal 364 3 3 2" xfId="28412" xr:uid="{00000000-0005-0000-0000-0000FC6E0000}"/>
    <cellStyle name="Normal 364 3 3 2 2" xfId="28413" xr:uid="{00000000-0005-0000-0000-0000FD6E0000}"/>
    <cellStyle name="Normal 364 3 3 3" xfId="28414" xr:uid="{00000000-0005-0000-0000-0000FE6E0000}"/>
    <cellStyle name="Normal 364 3 4" xfId="28415" xr:uid="{00000000-0005-0000-0000-0000FF6E0000}"/>
    <cellStyle name="Normal 364 3 4 2" xfId="28416" xr:uid="{00000000-0005-0000-0000-0000006F0000}"/>
    <cellStyle name="Normal 364 3 4 2 2" xfId="28417" xr:uid="{00000000-0005-0000-0000-0000016F0000}"/>
    <cellStyle name="Normal 364 3 4 3" xfId="28418" xr:uid="{00000000-0005-0000-0000-0000026F0000}"/>
    <cellStyle name="Normal 364 3 5" xfId="28419" xr:uid="{00000000-0005-0000-0000-0000036F0000}"/>
    <cellStyle name="Normal 364 3 5 2" xfId="28420" xr:uid="{00000000-0005-0000-0000-0000046F0000}"/>
    <cellStyle name="Normal 364 3 5 2 2" xfId="28421" xr:uid="{00000000-0005-0000-0000-0000056F0000}"/>
    <cellStyle name="Normal 364 3 5 3" xfId="28422" xr:uid="{00000000-0005-0000-0000-0000066F0000}"/>
    <cellStyle name="Normal 364 3 6" xfId="28423" xr:uid="{00000000-0005-0000-0000-0000076F0000}"/>
    <cellStyle name="Normal 364 4" xfId="28424" xr:uid="{00000000-0005-0000-0000-0000086F0000}"/>
    <cellStyle name="Normal 364 4 2" xfId="28425" xr:uid="{00000000-0005-0000-0000-0000096F0000}"/>
    <cellStyle name="Normal 364 4 2 2" xfId="28426" xr:uid="{00000000-0005-0000-0000-00000A6F0000}"/>
    <cellStyle name="Normal 364 4 3" xfId="28427" xr:uid="{00000000-0005-0000-0000-00000B6F0000}"/>
    <cellStyle name="Normal 364 5" xfId="28428" xr:uid="{00000000-0005-0000-0000-00000C6F0000}"/>
    <cellStyle name="Normal 364 5 2" xfId="28429" xr:uid="{00000000-0005-0000-0000-00000D6F0000}"/>
    <cellStyle name="Normal 364 5 2 2" xfId="28430" xr:uid="{00000000-0005-0000-0000-00000E6F0000}"/>
    <cellStyle name="Normal 364 5 3" xfId="28431" xr:uid="{00000000-0005-0000-0000-00000F6F0000}"/>
    <cellStyle name="Normal 364 6" xfId="28432" xr:uid="{00000000-0005-0000-0000-0000106F0000}"/>
    <cellStyle name="Normal 364 6 2" xfId="28433" xr:uid="{00000000-0005-0000-0000-0000116F0000}"/>
    <cellStyle name="Normal 364 6 2 2" xfId="28434" xr:uid="{00000000-0005-0000-0000-0000126F0000}"/>
    <cellStyle name="Normal 364 6 3" xfId="28435" xr:uid="{00000000-0005-0000-0000-0000136F0000}"/>
    <cellStyle name="Normal 364 7" xfId="28436" xr:uid="{00000000-0005-0000-0000-0000146F0000}"/>
    <cellStyle name="Normal 365" xfId="28437" xr:uid="{00000000-0005-0000-0000-0000156F0000}"/>
    <cellStyle name="Normal 365 2" xfId="28438" xr:uid="{00000000-0005-0000-0000-0000166F0000}"/>
    <cellStyle name="Normal 365 2 2" xfId="28439" xr:uid="{00000000-0005-0000-0000-0000176F0000}"/>
    <cellStyle name="Normal 365 2 2 2" xfId="28440" xr:uid="{00000000-0005-0000-0000-0000186F0000}"/>
    <cellStyle name="Normal 365 2 3" xfId="28441" xr:uid="{00000000-0005-0000-0000-0000196F0000}"/>
    <cellStyle name="Normal 365 2 3 2" xfId="28442" xr:uid="{00000000-0005-0000-0000-00001A6F0000}"/>
    <cellStyle name="Normal 365 2 3 2 2" xfId="28443" xr:uid="{00000000-0005-0000-0000-00001B6F0000}"/>
    <cellStyle name="Normal 365 2 3 3" xfId="28444" xr:uid="{00000000-0005-0000-0000-00001C6F0000}"/>
    <cellStyle name="Normal 365 2 4" xfId="28445" xr:uid="{00000000-0005-0000-0000-00001D6F0000}"/>
    <cellStyle name="Normal 365 2 4 2" xfId="28446" xr:uid="{00000000-0005-0000-0000-00001E6F0000}"/>
    <cellStyle name="Normal 365 2 4 2 2" xfId="28447" xr:uid="{00000000-0005-0000-0000-00001F6F0000}"/>
    <cellStyle name="Normal 365 2 4 3" xfId="28448" xr:uid="{00000000-0005-0000-0000-0000206F0000}"/>
    <cellStyle name="Normal 365 2 5" xfId="28449" xr:uid="{00000000-0005-0000-0000-0000216F0000}"/>
    <cellStyle name="Normal 365 3" xfId="28450" xr:uid="{00000000-0005-0000-0000-0000226F0000}"/>
    <cellStyle name="Normal 365 3 2" xfId="28451" xr:uid="{00000000-0005-0000-0000-0000236F0000}"/>
    <cellStyle name="Normal 365 3 2 2" xfId="28452" xr:uid="{00000000-0005-0000-0000-0000246F0000}"/>
    <cellStyle name="Normal 365 3 2 2 2" xfId="28453" xr:uid="{00000000-0005-0000-0000-0000256F0000}"/>
    <cellStyle name="Normal 365 3 2 3" xfId="28454" xr:uid="{00000000-0005-0000-0000-0000266F0000}"/>
    <cellStyle name="Normal 365 3 2 3 2" xfId="28455" xr:uid="{00000000-0005-0000-0000-0000276F0000}"/>
    <cellStyle name="Normal 365 3 2 3 2 2" xfId="28456" xr:uid="{00000000-0005-0000-0000-0000286F0000}"/>
    <cellStyle name="Normal 365 3 2 3 3" xfId="28457" xr:uid="{00000000-0005-0000-0000-0000296F0000}"/>
    <cellStyle name="Normal 365 3 2 4" xfId="28458" xr:uid="{00000000-0005-0000-0000-00002A6F0000}"/>
    <cellStyle name="Normal 365 3 3" xfId="28459" xr:uid="{00000000-0005-0000-0000-00002B6F0000}"/>
    <cellStyle name="Normal 365 3 3 2" xfId="28460" xr:uid="{00000000-0005-0000-0000-00002C6F0000}"/>
    <cellStyle name="Normal 365 3 3 2 2" xfId="28461" xr:uid="{00000000-0005-0000-0000-00002D6F0000}"/>
    <cellStyle name="Normal 365 3 3 3" xfId="28462" xr:uid="{00000000-0005-0000-0000-00002E6F0000}"/>
    <cellStyle name="Normal 365 3 4" xfId="28463" xr:uid="{00000000-0005-0000-0000-00002F6F0000}"/>
    <cellStyle name="Normal 365 3 4 2" xfId="28464" xr:uid="{00000000-0005-0000-0000-0000306F0000}"/>
    <cellStyle name="Normal 365 3 4 2 2" xfId="28465" xr:uid="{00000000-0005-0000-0000-0000316F0000}"/>
    <cellStyle name="Normal 365 3 4 3" xfId="28466" xr:uid="{00000000-0005-0000-0000-0000326F0000}"/>
    <cellStyle name="Normal 365 3 5" xfId="28467" xr:uid="{00000000-0005-0000-0000-0000336F0000}"/>
    <cellStyle name="Normal 365 3 5 2" xfId="28468" xr:uid="{00000000-0005-0000-0000-0000346F0000}"/>
    <cellStyle name="Normal 365 3 5 2 2" xfId="28469" xr:uid="{00000000-0005-0000-0000-0000356F0000}"/>
    <cellStyle name="Normal 365 3 5 3" xfId="28470" xr:uid="{00000000-0005-0000-0000-0000366F0000}"/>
    <cellStyle name="Normal 365 3 6" xfId="28471" xr:uid="{00000000-0005-0000-0000-0000376F0000}"/>
    <cellStyle name="Normal 365 4" xfId="28472" xr:uid="{00000000-0005-0000-0000-0000386F0000}"/>
    <cellStyle name="Normal 365 4 2" xfId="28473" xr:uid="{00000000-0005-0000-0000-0000396F0000}"/>
    <cellStyle name="Normal 365 4 2 2" xfId="28474" xr:uid="{00000000-0005-0000-0000-00003A6F0000}"/>
    <cellStyle name="Normal 365 4 3" xfId="28475" xr:uid="{00000000-0005-0000-0000-00003B6F0000}"/>
    <cellStyle name="Normal 365 5" xfId="28476" xr:uid="{00000000-0005-0000-0000-00003C6F0000}"/>
    <cellStyle name="Normal 365 5 2" xfId="28477" xr:uid="{00000000-0005-0000-0000-00003D6F0000}"/>
    <cellStyle name="Normal 365 5 2 2" xfId="28478" xr:uid="{00000000-0005-0000-0000-00003E6F0000}"/>
    <cellStyle name="Normal 365 5 3" xfId="28479" xr:uid="{00000000-0005-0000-0000-00003F6F0000}"/>
    <cellStyle name="Normal 365 6" xfId="28480" xr:uid="{00000000-0005-0000-0000-0000406F0000}"/>
    <cellStyle name="Normal 365 6 2" xfId="28481" xr:uid="{00000000-0005-0000-0000-0000416F0000}"/>
    <cellStyle name="Normal 365 6 2 2" xfId="28482" xr:uid="{00000000-0005-0000-0000-0000426F0000}"/>
    <cellStyle name="Normal 365 6 3" xfId="28483" xr:uid="{00000000-0005-0000-0000-0000436F0000}"/>
    <cellStyle name="Normal 365 7" xfId="28484" xr:uid="{00000000-0005-0000-0000-0000446F0000}"/>
    <cellStyle name="Normal 366" xfId="28485" xr:uid="{00000000-0005-0000-0000-0000456F0000}"/>
    <cellStyle name="Normal 366 2" xfId="28486" xr:uid="{00000000-0005-0000-0000-0000466F0000}"/>
    <cellStyle name="Normal 366 2 2" xfId="28487" xr:uid="{00000000-0005-0000-0000-0000476F0000}"/>
    <cellStyle name="Normal 366 2 2 2" xfId="28488" xr:uid="{00000000-0005-0000-0000-0000486F0000}"/>
    <cellStyle name="Normal 366 2 3" xfId="28489" xr:uid="{00000000-0005-0000-0000-0000496F0000}"/>
    <cellStyle name="Normal 366 2 3 2" xfId="28490" xr:uid="{00000000-0005-0000-0000-00004A6F0000}"/>
    <cellStyle name="Normal 366 2 3 2 2" xfId="28491" xr:uid="{00000000-0005-0000-0000-00004B6F0000}"/>
    <cellStyle name="Normal 366 2 3 3" xfId="28492" xr:uid="{00000000-0005-0000-0000-00004C6F0000}"/>
    <cellStyle name="Normal 366 2 4" xfId="28493" xr:uid="{00000000-0005-0000-0000-00004D6F0000}"/>
    <cellStyle name="Normal 366 2 4 2" xfId="28494" xr:uid="{00000000-0005-0000-0000-00004E6F0000}"/>
    <cellStyle name="Normal 366 2 4 2 2" xfId="28495" xr:uid="{00000000-0005-0000-0000-00004F6F0000}"/>
    <cellStyle name="Normal 366 2 4 3" xfId="28496" xr:uid="{00000000-0005-0000-0000-0000506F0000}"/>
    <cellStyle name="Normal 366 2 5" xfId="28497" xr:uid="{00000000-0005-0000-0000-0000516F0000}"/>
    <cellStyle name="Normal 366 3" xfId="28498" xr:uid="{00000000-0005-0000-0000-0000526F0000}"/>
    <cellStyle name="Normal 366 3 2" xfId="28499" xr:uid="{00000000-0005-0000-0000-0000536F0000}"/>
    <cellStyle name="Normal 366 3 2 2" xfId="28500" xr:uid="{00000000-0005-0000-0000-0000546F0000}"/>
    <cellStyle name="Normal 366 3 2 2 2" xfId="28501" xr:uid="{00000000-0005-0000-0000-0000556F0000}"/>
    <cellStyle name="Normal 366 3 2 3" xfId="28502" xr:uid="{00000000-0005-0000-0000-0000566F0000}"/>
    <cellStyle name="Normal 366 3 2 3 2" xfId="28503" xr:uid="{00000000-0005-0000-0000-0000576F0000}"/>
    <cellStyle name="Normal 366 3 2 3 2 2" xfId="28504" xr:uid="{00000000-0005-0000-0000-0000586F0000}"/>
    <cellStyle name="Normal 366 3 2 3 3" xfId="28505" xr:uid="{00000000-0005-0000-0000-0000596F0000}"/>
    <cellStyle name="Normal 366 3 2 4" xfId="28506" xr:uid="{00000000-0005-0000-0000-00005A6F0000}"/>
    <cellStyle name="Normal 366 3 3" xfId="28507" xr:uid="{00000000-0005-0000-0000-00005B6F0000}"/>
    <cellStyle name="Normal 366 3 3 2" xfId="28508" xr:uid="{00000000-0005-0000-0000-00005C6F0000}"/>
    <cellStyle name="Normal 366 3 3 2 2" xfId="28509" xr:uid="{00000000-0005-0000-0000-00005D6F0000}"/>
    <cellStyle name="Normal 366 3 3 3" xfId="28510" xr:uid="{00000000-0005-0000-0000-00005E6F0000}"/>
    <cellStyle name="Normal 366 3 4" xfId="28511" xr:uid="{00000000-0005-0000-0000-00005F6F0000}"/>
    <cellStyle name="Normal 366 3 4 2" xfId="28512" xr:uid="{00000000-0005-0000-0000-0000606F0000}"/>
    <cellStyle name="Normal 366 3 4 2 2" xfId="28513" xr:uid="{00000000-0005-0000-0000-0000616F0000}"/>
    <cellStyle name="Normal 366 3 4 3" xfId="28514" xr:uid="{00000000-0005-0000-0000-0000626F0000}"/>
    <cellStyle name="Normal 366 3 5" xfId="28515" xr:uid="{00000000-0005-0000-0000-0000636F0000}"/>
    <cellStyle name="Normal 366 3 5 2" xfId="28516" xr:uid="{00000000-0005-0000-0000-0000646F0000}"/>
    <cellStyle name="Normal 366 3 5 2 2" xfId="28517" xr:uid="{00000000-0005-0000-0000-0000656F0000}"/>
    <cellStyle name="Normal 366 3 5 3" xfId="28518" xr:uid="{00000000-0005-0000-0000-0000666F0000}"/>
    <cellStyle name="Normal 366 3 6" xfId="28519" xr:uid="{00000000-0005-0000-0000-0000676F0000}"/>
    <cellStyle name="Normal 366 4" xfId="28520" xr:uid="{00000000-0005-0000-0000-0000686F0000}"/>
    <cellStyle name="Normal 366 4 2" xfId="28521" xr:uid="{00000000-0005-0000-0000-0000696F0000}"/>
    <cellStyle name="Normal 366 4 2 2" xfId="28522" xr:uid="{00000000-0005-0000-0000-00006A6F0000}"/>
    <cellStyle name="Normal 366 4 3" xfId="28523" xr:uid="{00000000-0005-0000-0000-00006B6F0000}"/>
    <cellStyle name="Normal 366 5" xfId="28524" xr:uid="{00000000-0005-0000-0000-00006C6F0000}"/>
    <cellStyle name="Normal 366 5 2" xfId="28525" xr:uid="{00000000-0005-0000-0000-00006D6F0000}"/>
    <cellStyle name="Normal 366 5 2 2" xfId="28526" xr:uid="{00000000-0005-0000-0000-00006E6F0000}"/>
    <cellStyle name="Normal 366 5 3" xfId="28527" xr:uid="{00000000-0005-0000-0000-00006F6F0000}"/>
    <cellStyle name="Normal 366 6" xfId="28528" xr:uid="{00000000-0005-0000-0000-0000706F0000}"/>
    <cellStyle name="Normal 366 6 2" xfId="28529" xr:uid="{00000000-0005-0000-0000-0000716F0000}"/>
    <cellStyle name="Normal 366 6 2 2" xfId="28530" xr:uid="{00000000-0005-0000-0000-0000726F0000}"/>
    <cellStyle name="Normal 366 6 3" xfId="28531" xr:uid="{00000000-0005-0000-0000-0000736F0000}"/>
    <cellStyle name="Normal 366 7" xfId="28532" xr:uid="{00000000-0005-0000-0000-0000746F0000}"/>
    <cellStyle name="Normal 367" xfId="28533" xr:uid="{00000000-0005-0000-0000-0000756F0000}"/>
    <cellStyle name="Normal 367 2" xfId="28534" xr:uid="{00000000-0005-0000-0000-0000766F0000}"/>
    <cellStyle name="Normal 367 2 2" xfId="28535" xr:uid="{00000000-0005-0000-0000-0000776F0000}"/>
    <cellStyle name="Normal 367 2 2 2" xfId="28536" xr:uid="{00000000-0005-0000-0000-0000786F0000}"/>
    <cellStyle name="Normal 367 2 3" xfId="28537" xr:uid="{00000000-0005-0000-0000-0000796F0000}"/>
    <cellStyle name="Normal 367 2 3 2" xfId="28538" xr:uid="{00000000-0005-0000-0000-00007A6F0000}"/>
    <cellStyle name="Normal 367 2 3 2 2" xfId="28539" xr:uid="{00000000-0005-0000-0000-00007B6F0000}"/>
    <cellStyle name="Normal 367 2 3 3" xfId="28540" xr:uid="{00000000-0005-0000-0000-00007C6F0000}"/>
    <cellStyle name="Normal 367 2 4" xfId="28541" xr:uid="{00000000-0005-0000-0000-00007D6F0000}"/>
    <cellStyle name="Normal 367 2 4 2" xfId="28542" xr:uid="{00000000-0005-0000-0000-00007E6F0000}"/>
    <cellStyle name="Normal 367 2 4 2 2" xfId="28543" xr:uid="{00000000-0005-0000-0000-00007F6F0000}"/>
    <cellStyle name="Normal 367 2 4 3" xfId="28544" xr:uid="{00000000-0005-0000-0000-0000806F0000}"/>
    <cellStyle name="Normal 367 2 5" xfId="28545" xr:uid="{00000000-0005-0000-0000-0000816F0000}"/>
    <cellStyle name="Normal 367 3" xfId="28546" xr:uid="{00000000-0005-0000-0000-0000826F0000}"/>
    <cellStyle name="Normal 367 3 2" xfId="28547" xr:uid="{00000000-0005-0000-0000-0000836F0000}"/>
    <cellStyle name="Normal 367 3 2 2" xfId="28548" xr:uid="{00000000-0005-0000-0000-0000846F0000}"/>
    <cellStyle name="Normal 367 3 2 2 2" xfId="28549" xr:uid="{00000000-0005-0000-0000-0000856F0000}"/>
    <cellStyle name="Normal 367 3 2 3" xfId="28550" xr:uid="{00000000-0005-0000-0000-0000866F0000}"/>
    <cellStyle name="Normal 367 3 2 3 2" xfId="28551" xr:uid="{00000000-0005-0000-0000-0000876F0000}"/>
    <cellStyle name="Normal 367 3 2 3 2 2" xfId="28552" xr:uid="{00000000-0005-0000-0000-0000886F0000}"/>
    <cellStyle name="Normal 367 3 2 3 3" xfId="28553" xr:uid="{00000000-0005-0000-0000-0000896F0000}"/>
    <cellStyle name="Normal 367 3 2 4" xfId="28554" xr:uid="{00000000-0005-0000-0000-00008A6F0000}"/>
    <cellStyle name="Normal 367 3 3" xfId="28555" xr:uid="{00000000-0005-0000-0000-00008B6F0000}"/>
    <cellStyle name="Normal 367 3 3 2" xfId="28556" xr:uid="{00000000-0005-0000-0000-00008C6F0000}"/>
    <cellStyle name="Normal 367 3 3 2 2" xfId="28557" xr:uid="{00000000-0005-0000-0000-00008D6F0000}"/>
    <cellStyle name="Normal 367 3 3 3" xfId="28558" xr:uid="{00000000-0005-0000-0000-00008E6F0000}"/>
    <cellStyle name="Normal 367 3 4" xfId="28559" xr:uid="{00000000-0005-0000-0000-00008F6F0000}"/>
    <cellStyle name="Normal 367 3 4 2" xfId="28560" xr:uid="{00000000-0005-0000-0000-0000906F0000}"/>
    <cellStyle name="Normal 367 3 4 2 2" xfId="28561" xr:uid="{00000000-0005-0000-0000-0000916F0000}"/>
    <cellStyle name="Normal 367 3 4 3" xfId="28562" xr:uid="{00000000-0005-0000-0000-0000926F0000}"/>
    <cellStyle name="Normal 367 3 5" xfId="28563" xr:uid="{00000000-0005-0000-0000-0000936F0000}"/>
    <cellStyle name="Normal 367 3 5 2" xfId="28564" xr:uid="{00000000-0005-0000-0000-0000946F0000}"/>
    <cellStyle name="Normal 367 3 5 2 2" xfId="28565" xr:uid="{00000000-0005-0000-0000-0000956F0000}"/>
    <cellStyle name="Normal 367 3 5 3" xfId="28566" xr:uid="{00000000-0005-0000-0000-0000966F0000}"/>
    <cellStyle name="Normal 367 3 6" xfId="28567" xr:uid="{00000000-0005-0000-0000-0000976F0000}"/>
    <cellStyle name="Normal 367 4" xfId="28568" xr:uid="{00000000-0005-0000-0000-0000986F0000}"/>
    <cellStyle name="Normal 367 4 2" xfId="28569" xr:uid="{00000000-0005-0000-0000-0000996F0000}"/>
    <cellStyle name="Normal 367 4 2 2" xfId="28570" xr:uid="{00000000-0005-0000-0000-00009A6F0000}"/>
    <cellStyle name="Normal 367 4 3" xfId="28571" xr:uid="{00000000-0005-0000-0000-00009B6F0000}"/>
    <cellStyle name="Normal 367 5" xfId="28572" xr:uid="{00000000-0005-0000-0000-00009C6F0000}"/>
    <cellStyle name="Normal 367 5 2" xfId="28573" xr:uid="{00000000-0005-0000-0000-00009D6F0000}"/>
    <cellStyle name="Normal 367 5 2 2" xfId="28574" xr:uid="{00000000-0005-0000-0000-00009E6F0000}"/>
    <cellStyle name="Normal 367 5 3" xfId="28575" xr:uid="{00000000-0005-0000-0000-00009F6F0000}"/>
    <cellStyle name="Normal 367 6" xfId="28576" xr:uid="{00000000-0005-0000-0000-0000A06F0000}"/>
    <cellStyle name="Normal 367 6 2" xfId="28577" xr:uid="{00000000-0005-0000-0000-0000A16F0000}"/>
    <cellStyle name="Normal 367 6 2 2" xfId="28578" xr:uid="{00000000-0005-0000-0000-0000A26F0000}"/>
    <cellStyle name="Normal 367 6 3" xfId="28579" xr:uid="{00000000-0005-0000-0000-0000A36F0000}"/>
    <cellStyle name="Normal 367 7" xfId="28580" xr:uid="{00000000-0005-0000-0000-0000A46F0000}"/>
    <cellStyle name="Normal 368" xfId="28581" xr:uid="{00000000-0005-0000-0000-0000A56F0000}"/>
    <cellStyle name="Normal 368 2" xfId="28582" xr:uid="{00000000-0005-0000-0000-0000A66F0000}"/>
    <cellStyle name="Normal 368 2 2" xfId="28583" xr:uid="{00000000-0005-0000-0000-0000A76F0000}"/>
    <cellStyle name="Normal 368 2 2 2" xfId="28584" xr:uid="{00000000-0005-0000-0000-0000A86F0000}"/>
    <cellStyle name="Normal 368 2 3" xfId="28585" xr:uid="{00000000-0005-0000-0000-0000A96F0000}"/>
    <cellStyle name="Normal 368 2 3 2" xfId="28586" xr:uid="{00000000-0005-0000-0000-0000AA6F0000}"/>
    <cellStyle name="Normal 368 2 3 2 2" xfId="28587" xr:uid="{00000000-0005-0000-0000-0000AB6F0000}"/>
    <cellStyle name="Normal 368 2 3 3" xfId="28588" xr:uid="{00000000-0005-0000-0000-0000AC6F0000}"/>
    <cellStyle name="Normal 368 2 4" xfId="28589" xr:uid="{00000000-0005-0000-0000-0000AD6F0000}"/>
    <cellStyle name="Normal 368 2 4 2" xfId="28590" xr:uid="{00000000-0005-0000-0000-0000AE6F0000}"/>
    <cellStyle name="Normal 368 2 4 2 2" xfId="28591" xr:uid="{00000000-0005-0000-0000-0000AF6F0000}"/>
    <cellStyle name="Normal 368 2 4 3" xfId="28592" xr:uid="{00000000-0005-0000-0000-0000B06F0000}"/>
    <cellStyle name="Normal 368 2 5" xfId="28593" xr:uid="{00000000-0005-0000-0000-0000B16F0000}"/>
    <cellStyle name="Normal 368 3" xfId="28594" xr:uid="{00000000-0005-0000-0000-0000B26F0000}"/>
    <cellStyle name="Normal 368 3 2" xfId="28595" xr:uid="{00000000-0005-0000-0000-0000B36F0000}"/>
    <cellStyle name="Normal 368 3 2 2" xfId="28596" xr:uid="{00000000-0005-0000-0000-0000B46F0000}"/>
    <cellStyle name="Normal 368 3 2 2 2" xfId="28597" xr:uid="{00000000-0005-0000-0000-0000B56F0000}"/>
    <cellStyle name="Normal 368 3 2 3" xfId="28598" xr:uid="{00000000-0005-0000-0000-0000B66F0000}"/>
    <cellStyle name="Normal 368 3 2 3 2" xfId="28599" xr:uid="{00000000-0005-0000-0000-0000B76F0000}"/>
    <cellStyle name="Normal 368 3 2 3 2 2" xfId="28600" xr:uid="{00000000-0005-0000-0000-0000B86F0000}"/>
    <cellStyle name="Normal 368 3 2 3 3" xfId="28601" xr:uid="{00000000-0005-0000-0000-0000B96F0000}"/>
    <cellStyle name="Normal 368 3 2 4" xfId="28602" xr:uid="{00000000-0005-0000-0000-0000BA6F0000}"/>
    <cellStyle name="Normal 368 3 3" xfId="28603" xr:uid="{00000000-0005-0000-0000-0000BB6F0000}"/>
    <cellStyle name="Normal 368 3 3 2" xfId="28604" xr:uid="{00000000-0005-0000-0000-0000BC6F0000}"/>
    <cellStyle name="Normal 368 3 3 2 2" xfId="28605" xr:uid="{00000000-0005-0000-0000-0000BD6F0000}"/>
    <cellStyle name="Normal 368 3 3 3" xfId="28606" xr:uid="{00000000-0005-0000-0000-0000BE6F0000}"/>
    <cellStyle name="Normal 368 3 4" xfId="28607" xr:uid="{00000000-0005-0000-0000-0000BF6F0000}"/>
    <cellStyle name="Normal 368 3 4 2" xfId="28608" xr:uid="{00000000-0005-0000-0000-0000C06F0000}"/>
    <cellStyle name="Normal 368 3 4 2 2" xfId="28609" xr:uid="{00000000-0005-0000-0000-0000C16F0000}"/>
    <cellStyle name="Normal 368 3 4 3" xfId="28610" xr:uid="{00000000-0005-0000-0000-0000C26F0000}"/>
    <cellStyle name="Normal 368 3 5" xfId="28611" xr:uid="{00000000-0005-0000-0000-0000C36F0000}"/>
    <cellStyle name="Normal 368 3 5 2" xfId="28612" xr:uid="{00000000-0005-0000-0000-0000C46F0000}"/>
    <cellStyle name="Normal 368 3 5 2 2" xfId="28613" xr:uid="{00000000-0005-0000-0000-0000C56F0000}"/>
    <cellStyle name="Normal 368 3 5 3" xfId="28614" xr:uid="{00000000-0005-0000-0000-0000C66F0000}"/>
    <cellStyle name="Normal 368 3 6" xfId="28615" xr:uid="{00000000-0005-0000-0000-0000C76F0000}"/>
    <cellStyle name="Normal 368 4" xfId="28616" xr:uid="{00000000-0005-0000-0000-0000C86F0000}"/>
    <cellStyle name="Normal 368 4 2" xfId="28617" xr:uid="{00000000-0005-0000-0000-0000C96F0000}"/>
    <cellStyle name="Normal 368 4 2 2" xfId="28618" xr:uid="{00000000-0005-0000-0000-0000CA6F0000}"/>
    <cellStyle name="Normal 368 4 3" xfId="28619" xr:uid="{00000000-0005-0000-0000-0000CB6F0000}"/>
    <cellStyle name="Normal 368 5" xfId="28620" xr:uid="{00000000-0005-0000-0000-0000CC6F0000}"/>
    <cellStyle name="Normal 368 5 2" xfId="28621" xr:uid="{00000000-0005-0000-0000-0000CD6F0000}"/>
    <cellStyle name="Normal 368 5 2 2" xfId="28622" xr:uid="{00000000-0005-0000-0000-0000CE6F0000}"/>
    <cellStyle name="Normal 368 5 3" xfId="28623" xr:uid="{00000000-0005-0000-0000-0000CF6F0000}"/>
    <cellStyle name="Normal 368 6" xfId="28624" xr:uid="{00000000-0005-0000-0000-0000D06F0000}"/>
    <cellStyle name="Normal 368 6 2" xfId="28625" xr:uid="{00000000-0005-0000-0000-0000D16F0000}"/>
    <cellStyle name="Normal 368 6 2 2" xfId="28626" xr:uid="{00000000-0005-0000-0000-0000D26F0000}"/>
    <cellStyle name="Normal 368 6 3" xfId="28627" xr:uid="{00000000-0005-0000-0000-0000D36F0000}"/>
    <cellStyle name="Normal 368 7" xfId="28628" xr:uid="{00000000-0005-0000-0000-0000D46F0000}"/>
    <cellStyle name="Normal 369" xfId="28629" xr:uid="{00000000-0005-0000-0000-0000D56F0000}"/>
    <cellStyle name="Normal 369 2" xfId="28630" xr:uid="{00000000-0005-0000-0000-0000D66F0000}"/>
    <cellStyle name="Normal 369 2 2" xfId="28631" xr:uid="{00000000-0005-0000-0000-0000D76F0000}"/>
    <cellStyle name="Normal 369 2 2 2" xfId="28632" xr:uid="{00000000-0005-0000-0000-0000D86F0000}"/>
    <cellStyle name="Normal 369 2 3" xfId="28633" xr:uid="{00000000-0005-0000-0000-0000D96F0000}"/>
    <cellStyle name="Normal 369 2 3 2" xfId="28634" xr:uid="{00000000-0005-0000-0000-0000DA6F0000}"/>
    <cellStyle name="Normal 369 2 3 2 2" xfId="28635" xr:uid="{00000000-0005-0000-0000-0000DB6F0000}"/>
    <cellStyle name="Normal 369 2 3 3" xfId="28636" xr:uid="{00000000-0005-0000-0000-0000DC6F0000}"/>
    <cellStyle name="Normal 369 2 4" xfId="28637" xr:uid="{00000000-0005-0000-0000-0000DD6F0000}"/>
    <cellStyle name="Normal 369 2 4 2" xfId="28638" xr:uid="{00000000-0005-0000-0000-0000DE6F0000}"/>
    <cellStyle name="Normal 369 2 4 2 2" xfId="28639" xr:uid="{00000000-0005-0000-0000-0000DF6F0000}"/>
    <cellStyle name="Normal 369 2 4 3" xfId="28640" xr:uid="{00000000-0005-0000-0000-0000E06F0000}"/>
    <cellStyle name="Normal 369 2 5" xfId="28641" xr:uid="{00000000-0005-0000-0000-0000E16F0000}"/>
    <cellStyle name="Normal 369 3" xfId="28642" xr:uid="{00000000-0005-0000-0000-0000E26F0000}"/>
    <cellStyle name="Normal 369 3 2" xfId="28643" xr:uid="{00000000-0005-0000-0000-0000E36F0000}"/>
    <cellStyle name="Normal 369 3 2 2" xfId="28644" xr:uid="{00000000-0005-0000-0000-0000E46F0000}"/>
    <cellStyle name="Normal 369 3 2 2 2" xfId="28645" xr:uid="{00000000-0005-0000-0000-0000E56F0000}"/>
    <cellStyle name="Normal 369 3 2 3" xfId="28646" xr:uid="{00000000-0005-0000-0000-0000E66F0000}"/>
    <cellStyle name="Normal 369 3 2 3 2" xfId="28647" xr:uid="{00000000-0005-0000-0000-0000E76F0000}"/>
    <cellStyle name="Normal 369 3 2 3 2 2" xfId="28648" xr:uid="{00000000-0005-0000-0000-0000E86F0000}"/>
    <cellStyle name="Normal 369 3 2 3 3" xfId="28649" xr:uid="{00000000-0005-0000-0000-0000E96F0000}"/>
    <cellStyle name="Normal 369 3 2 4" xfId="28650" xr:uid="{00000000-0005-0000-0000-0000EA6F0000}"/>
    <cellStyle name="Normal 369 3 3" xfId="28651" xr:uid="{00000000-0005-0000-0000-0000EB6F0000}"/>
    <cellStyle name="Normal 369 3 3 2" xfId="28652" xr:uid="{00000000-0005-0000-0000-0000EC6F0000}"/>
    <cellStyle name="Normal 369 3 3 2 2" xfId="28653" xr:uid="{00000000-0005-0000-0000-0000ED6F0000}"/>
    <cellStyle name="Normal 369 3 3 3" xfId="28654" xr:uid="{00000000-0005-0000-0000-0000EE6F0000}"/>
    <cellStyle name="Normal 369 3 4" xfId="28655" xr:uid="{00000000-0005-0000-0000-0000EF6F0000}"/>
    <cellStyle name="Normal 369 3 4 2" xfId="28656" xr:uid="{00000000-0005-0000-0000-0000F06F0000}"/>
    <cellStyle name="Normal 369 3 4 2 2" xfId="28657" xr:uid="{00000000-0005-0000-0000-0000F16F0000}"/>
    <cellStyle name="Normal 369 3 4 3" xfId="28658" xr:uid="{00000000-0005-0000-0000-0000F26F0000}"/>
    <cellStyle name="Normal 369 3 5" xfId="28659" xr:uid="{00000000-0005-0000-0000-0000F36F0000}"/>
    <cellStyle name="Normal 369 3 5 2" xfId="28660" xr:uid="{00000000-0005-0000-0000-0000F46F0000}"/>
    <cellStyle name="Normal 369 3 5 2 2" xfId="28661" xr:uid="{00000000-0005-0000-0000-0000F56F0000}"/>
    <cellStyle name="Normal 369 3 5 3" xfId="28662" xr:uid="{00000000-0005-0000-0000-0000F66F0000}"/>
    <cellStyle name="Normal 369 3 6" xfId="28663" xr:uid="{00000000-0005-0000-0000-0000F76F0000}"/>
    <cellStyle name="Normal 369 4" xfId="28664" xr:uid="{00000000-0005-0000-0000-0000F86F0000}"/>
    <cellStyle name="Normal 369 4 2" xfId="28665" xr:uid="{00000000-0005-0000-0000-0000F96F0000}"/>
    <cellStyle name="Normal 369 4 2 2" xfId="28666" xr:uid="{00000000-0005-0000-0000-0000FA6F0000}"/>
    <cellStyle name="Normal 369 4 3" xfId="28667" xr:uid="{00000000-0005-0000-0000-0000FB6F0000}"/>
    <cellStyle name="Normal 369 5" xfId="28668" xr:uid="{00000000-0005-0000-0000-0000FC6F0000}"/>
    <cellStyle name="Normal 369 5 2" xfId="28669" xr:uid="{00000000-0005-0000-0000-0000FD6F0000}"/>
    <cellStyle name="Normal 369 5 2 2" xfId="28670" xr:uid="{00000000-0005-0000-0000-0000FE6F0000}"/>
    <cellStyle name="Normal 369 5 3" xfId="28671" xr:uid="{00000000-0005-0000-0000-0000FF6F0000}"/>
    <cellStyle name="Normal 369 6" xfId="28672" xr:uid="{00000000-0005-0000-0000-000000700000}"/>
    <cellStyle name="Normal 369 6 2" xfId="28673" xr:uid="{00000000-0005-0000-0000-000001700000}"/>
    <cellStyle name="Normal 369 6 2 2" xfId="28674" xr:uid="{00000000-0005-0000-0000-000002700000}"/>
    <cellStyle name="Normal 369 6 3" xfId="28675" xr:uid="{00000000-0005-0000-0000-000003700000}"/>
    <cellStyle name="Normal 369 7" xfId="28676" xr:uid="{00000000-0005-0000-0000-000004700000}"/>
    <cellStyle name="Normal 37" xfId="28677" xr:uid="{00000000-0005-0000-0000-000005700000}"/>
    <cellStyle name="Normal 37 2" xfId="28678" xr:uid="{00000000-0005-0000-0000-000006700000}"/>
    <cellStyle name="Normal 37 2 2" xfId="28679" xr:uid="{00000000-0005-0000-0000-000007700000}"/>
    <cellStyle name="Normal 37 2 2 2" xfId="28680" xr:uid="{00000000-0005-0000-0000-000008700000}"/>
    <cellStyle name="Normal 37 2 2 2 2" xfId="28681" xr:uid="{00000000-0005-0000-0000-000009700000}"/>
    <cellStyle name="Normal 37 2 2 3" xfId="28682" xr:uid="{00000000-0005-0000-0000-00000A700000}"/>
    <cellStyle name="Normal 37 2 2 3 2" xfId="28683" xr:uid="{00000000-0005-0000-0000-00000B700000}"/>
    <cellStyle name="Normal 37 2 2 3 2 2" xfId="28684" xr:uid="{00000000-0005-0000-0000-00000C700000}"/>
    <cellStyle name="Normal 37 2 2 3 3" xfId="28685" xr:uid="{00000000-0005-0000-0000-00000D700000}"/>
    <cellStyle name="Normal 37 2 2 4" xfId="28686" xr:uid="{00000000-0005-0000-0000-00000E700000}"/>
    <cellStyle name="Normal 37 2 2 4 2" xfId="28687" xr:uid="{00000000-0005-0000-0000-00000F700000}"/>
    <cellStyle name="Normal 37 2 2 4 2 2" xfId="28688" xr:uid="{00000000-0005-0000-0000-000010700000}"/>
    <cellStyle name="Normal 37 2 2 4 3" xfId="28689" xr:uid="{00000000-0005-0000-0000-000011700000}"/>
    <cellStyle name="Normal 37 2 2 5" xfId="28690" xr:uid="{00000000-0005-0000-0000-000012700000}"/>
    <cellStyle name="Normal 37 2 3" xfId="28691" xr:uid="{00000000-0005-0000-0000-000013700000}"/>
    <cellStyle name="Normal 37 2 3 2" xfId="28692" xr:uid="{00000000-0005-0000-0000-000014700000}"/>
    <cellStyle name="Normal 37 2 3 2 2" xfId="28693" xr:uid="{00000000-0005-0000-0000-000015700000}"/>
    <cellStyle name="Normal 37 2 3 3" xfId="28694" xr:uid="{00000000-0005-0000-0000-000016700000}"/>
    <cellStyle name="Normal 37 2 4" xfId="28695" xr:uid="{00000000-0005-0000-0000-000017700000}"/>
    <cellStyle name="Normal 37 2 4 2" xfId="28696" xr:uid="{00000000-0005-0000-0000-000018700000}"/>
    <cellStyle name="Normal 37 2 4 2 2" xfId="28697" xr:uid="{00000000-0005-0000-0000-000019700000}"/>
    <cellStyle name="Normal 37 2 4 3" xfId="28698" xr:uid="{00000000-0005-0000-0000-00001A700000}"/>
    <cellStyle name="Normal 37 2 5" xfId="28699" xr:uid="{00000000-0005-0000-0000-00001B700000}"/>
    <cellStyle name="Normal 37 2 5 2" xfId="28700" xr:uid="{00000000-0005-0000-0000-00001C700000}"/>
    <cellStyle name="Normal 37 2 5 2 2" xfId="28701" xr:uid="{00000000-0005-0000-0000-00001D700000}"/>
    <cellStyle name="Normal 37 2 5 3" xfId="28702" xr:uid="{00000000-0005-0000-0000-00001E700000}"/>
    <cellStyle name="Normal 37 2 6" xfId="28703" xr:uid="{00000000-0005-0000-0000-00001F700000}"/>
    <cellStyle name="Normal 37 3" xfId="28704" xr:uid="{00000000-0005-0000-0000-000020700000}"/>
    <cellStyle name="Normal 37 3 2" xfId="28705" xr:uid="{00000000-0005-0000-0000-000021700000}"/>
    <cellStyle name="Normal 37 3 2 2" xfId="28706" xr:uid="{00000000-0005-0000-0000-000022700000}"/>
    <cellStyle name="Normal 37 3 3" xfId="28707" xr:uid="{00000000-0005-0000-0000-000023700000}"/>
    <cellStyle name="Normal 37 3 3 2" xfId="28708" xr:uid="{00000000-0005-0000-0000-000024700000}"/>
    <cellStyle name="Normal 37 3 3 2 2" xfId="28709" xr:uid="{00000000-0005-0000-0000-000025700000}"/>
    <cellStyle name="Normal 37 3 3 3" xfId="28710" xr:uid="{00000000-0005-0000-0000-000026700000}"/>
    <cellStyle name="Normal 37 3 4" xfId="28711" xr:uid="{00000000-0005-0000-0000-000027700000}"/>
    <cellStyle name="Normal 37 3 4 2" xfId="28712" xr:uid="{00000000-0005-0000-0000-000028700000}"/>
    <cellStyle name="Normal 37 3 4 2 2" xfId="28713" xr:uid="{00000000-0005-0000-0000-000029700000}"/>
    <cellStyle name="Normal 37 3 4 3" xfId="28714" xr:uid="{00000000-0005-0000-0000-00002A700000}"/>
    <cellStyle name="Normal 37 3 5" xfId="28715" xr:uid="{00000000-0005-0000-0000-00002B700000}"/>
    <cellStyle name="Normal 37 4" xfId="28716" xr:uid="{00000000-0005-0000-0000-00002C700000}"/>
    <cellStyle name="Normal 37 4 2" xfId="28717" xr:uid="{00000000-0005-0000-0000-00002D700000}"/>
    <cellStyle name="Normal 37 4 2 2" xfId="28718" xr:uid="{00000000-0005-0000-0000-00002E700000}"/>
    <cellStyle name="Normal 37 4 3" xfId="28719" xr:uid="{00000000-0005-0000-0000-00002F700000}"/>
    <cellStyle name="Normal 37 5" xfId="28720" xr:uid="{00000000-0005-0000-0000-000030700000}"/>
    <cellStyle name="Normal 37 5 2" xfId="28721" xr:uid="{00000000-0005-0000-0000-000031700000}"/>
    <cellStyle name="Normal 37 5 2 2" xfId="28722" xr:uid="{00000000-0005-0000-0000-000032700000}"/>
    <cellStyle name="Normal 37 5 3" xfId="28723" xr:uid="{00000000-0005-0000-0000-000033700000}"/>
    <cellStyle name="Normal 37 6" xfId="28724" xr:uid="{00000000-0005-0000-0000-000034700000}"/>
    <cellStyle name="Normal 37 6 2" xfId="28725" xr:uid="{00000000-0005-0000-0000-000035700000}"/>
    <cellStyle name="Normal 37 6 2 2" xfId="28726" xr:uid="{00000000-0005-0000-0000-000036700000}"/>
    <cellStyle name="Normal 37 6 3" xfId="28727" xr:uid="{00000000-0005-0000-0000-000037700000}"/>
    <cellStyle name="Normal 37 7" xfId="28728" xr:uid="{00000000-0005-0000-0000-000038700000}"/>
    <cellStyle name="Normal 370" xfId="28729" xr:uid="{00000000-0005-0000-0000-000039700000}"/>
    <cellStyle name="Normal 370 2" xfId="28730" xr:uid="{00000000-0005-0000-0000-00003A700000}"/>
    <cellStyle name="Normal 370 2 2" xfId="28731" xr:uid="{00000000-0005-0000-0000-00003B700000}"/>
    <cellStyle name="Normal 370 2 2 2" xfId="28732" xr:uid="{00000000-0005-0000-0000-00003C700000}"/>
    <cellStyle name="Normal 370 2 3" xfId="28733" xr:uid="{00000000-0005-0000-0000-00003D700000}"/>
    <cellStyle name="Normal 370 2 3 2" xfId="28734" xr:uid="{00000000-0005-0000-0000-00003E700000}"/>
    <cellStyle name="Normal 370 2 3 2 2" xfId="28735" xr:uid="{00000000-0005-0000-0000-00003F700000}"/>
    <cellStyle name="Normal 370 2 3 3" xfId="28736" xr:uid="{00000000-0005-0000-0000-000040700000}"/>
    <cellStyle name="Normal 370 2 4" xfId="28737" xr:uid="{00000000-0005-0000-0000-000041700000}"/>
    <cellStyle name="Normal 370 2 4 2" xfId="28738" xr:uid="{00000000-0005-0000-0000-000042700000}"/>
    <cellStyle name="Normal 370 2 4 2 2" xfId="28739" xr:uid="{00000000-0005-0000-0000-000043700000}"/>
    <cellStyle name="Normal 370 2 4 3" xfId="28740" xr:uid="{00000000-0005-0000-0000-000044700000}"/>
    <cellStyle name="Normal 370 2 5" xfId="28741" xr:uid="{00000000-0005-0000-0000-000045700000}"/>
    <cellStyle name="Normal 370 3" xfId="28742" xr:uid="{00000000-0005-0000-0000-000046700000}"/>
    <cellStyle name="Normal 370 3 2" xfId="28743" xr:uid="{00000000-0005-0000-0000-000047700000}"/>
    <cellStyle name="Normal 370 3 2 2" xfId="28744" xr:uid="{00000000-0005-0000-0000-000048700000}"/>
    <cellStyle name="Normal 370 3 2 2 2" xfId="28745" xr:uid="{00000000-0005-0000-0000-000049700000}"/>
    <cellStyle name="Normal 370 3 2 3" xfId="28746" xr:uid="{00000000-0005-0000-0000-00004A700000}"/>
    <cellStyle name="Normal 370 3 2 3 2" xfId="28747" xr:uid="{00000000-0005-0000-0000-00004B700000}"/>
    <cellStyle name="Normal 370 3 2 3 2 2" xfId="28748" xr:uid="{00000000-0005-0000-0000-00004C700000}"/>
    <cellStyle name="Normal 370 3 2 3 3" xfId="28749" xr:uid="{00000000-0005-0000-0000-00004D700000}"/>
    <cellStyle name="Normal 370 3 2 4" xfId="28750" xr:uid="{00000000-0005-0000-0000-00004E700000}"/>
    <cellStyle name="Normal 370 3 3" xfId="28751" xr:uid="{00000000-0005-0000-0000-00004F700000}"/>
    <cellStyle name="Normal 370 3 3 2" xfId="28752" xr:uid="{00000000-0005-0000-0000-000050700000}"/>
    <cellStyle name="Normal 370 3 3 2 2" xfId="28753" xr:uid="{00000000-0005-0000-0000-000051700000}"/>
    <cellStyle name="Normal 370 3 3 3" xfId="28754" xr:uid="{00000000-0005-0000-0000-000052700000}"/>
    <cellStyle name="Normal 370 3 4" xfId="28755" xr:uid="{00000000-0005-0000-0000-000053700000}"/>
    <cellStyle name="Normal 370 3 4 2" xfId="28756" xr:uid="{00000000-0005-0000-0000-000054700000}"/>
    <cellStyle name="Normal 370 3 4 2 2" xfId="28757" xr:uid="{00000000-0005-0000-0000-000055700000}"/>
    <cellStyle name="Normal 370 3 4 3" xfId="28758" xr:uid="{00000000-0005-0000-0000-000056700000}"/>
    <cellStyle name="Normal 370 3 5" xfId="28759" xr:uid="{00000000-0005-0000-0000-000057700000}"/>
    <cellStyle name="Normal 370 3 5 2" xfId="28760" xr:uid="{00000000-0005-0000-0000-000058700000}"/>
    <cellStyle name="Normal 370 3 5 2 2" xfId="28761" xr:uid="{00000000-0005-0000-0000-000059700000}"/>
    <cellStyle name="Normal 370 3 5 3" xfId="28762" xr:uid="{00000000-0005-0000-0000-00005A700000}"/>
    <cellStyle name="Normal 370 3 6" xfId="28763" xr:uid="{00000000-0005-0000-0000-00005B700000}"/>
    <cellStyle name="Normal 370 4" xfId="28764" xr:uid="{00000000-0005-0000-0000-00005C700000}"/>
    <cellStyle name="Normal 370 4 2" xfId="28765" xr:uid="{00000000-0005-0000-0000-00005D700000}"/>
    <cellStyle name="Normal 370 4 2 2" xfId="28766" xr:uid="{00000000-0005-0000-0000-00005E700000}"/>
    <cellStyle name="Normal 370 4 3" xfId="28767" xr:uid="{00000000-0005-0000-0000-00005F700000}"/>
    <cellStyle name="Normal 370 5" xfId="28768" xr:uid="{00000000-0005-0000-0000-000060700000}"/>
    <cellStyle name="Normal 370 5 2" xfId="28769" xr:uid="{00000000-0005-0000-0000-000061700000}"/>
    <cellStyle name="Normal 370 5 2 2" xfId="28770" xr:uid="{00000000-0005-0000-0000-000062700000}"/>
    <cellStyle name="Normal 370 5 3" xfId="28771" xr:uid="{00000000-0005-0000-0000-000063700000}"/>
    <cellStyle name="Normal 370 6" xfId="28772" xr:uid="{00000000-0005-0000-0000-000064700000}"/>
    <cellStyle name="Normal 370 6 2" xfId="28773" xr:uid="{00000000-0005-0000-0000-000065700000}"/>
    <cellStyle name="Normal 370 6 2 2" xfId="28774" xr:uid="{00000000-0005-0000-0000-000066700000}"/>
    <cellStyle name="Normal 370 6 3" xfId="28775" xr:uid="{00000000-0005-0000-0000-000067700000}"/>
    <cellStyle name="Normal 370 7" xfId="28776" xr:uid="{00000000-0005-0000-0000-000068700000}"/>
    <cellStyle name="Normal 371" xfId="28777" xr:uid="{00000000-0005-0000-0000-000069700000}"/>
    <cellStyle name="Normal 371 2" xfId="28778" xr:uid="{00000000-0005-0000-0000-00006A700000}"/>
    <cellStyle name="Normal 371 2 2" xfId="28779" xr:uid="{00000000-0005-0000-0000-00006B700000}"/>
    <cellStyle name="Normal 371 2 2 2" xfId="28780" xr:uid="{00000000-0005-0000-0000-00006C700000}"/>
    <cellStyle name="Normal 371 2 3" xfId="28781" xr:uid="{00000000-0005-0000-0000-00006D700000}"/>
    <cellStyle name="Normal 371 2 3 2" xfId="28782" xr:uid="{00000000-0005-0000-0000-00006E700000}"/>
    <cellStyle name="Normal 371 2 3 2 2" xfId="28783" xr:uid="{00000000-0005-0000-0000-00006F700000}"/>
    <cellStyle name="Normal 371 2 3 3" xfId="28784" xr:uid="{00000000-0005-0000-0000-000070700000}"/>
    <cellStyle name="Normal 371 2 4" xfId="28785" xr:uid="{00000000-0005-0000-0000-000071700000}"/>
    <cellStyle name="Normal 371 2 4 2" xfId="28786" xr:uid="{00000000-0005-0000-0000-000072700000}"/>
    <cellStyle name="Normal 371 2 4 2 2" xfId="28787" xr:uid="{00000000-0005-0000-0000-000073700000}"/>
    <cellStyle name="Normal 371 2 4 3" xfId="28788" xr:uid="{00000000-0005-0000-0000-000074700000}"/>
    <cellStyle name="Normal 371 2 5" xfId="28789" xr:uid="{00000000-0005-0000-0000-000075700000}"/>
    <cellStyle name="Normal 371 3" xfId="28790" xr:uid="{00000000-0005-0000-0000-000076700000}"/>
    <cellStyle name="Normal 371 3 2" xfId="28791" xr:uid="{00000000-0005-0000-0000-000077700000}"/>
    <cellStyle name="Normal 371 3 2 2" xfId="28792" xr:uid="{00000000-0005-0000-0000-000078700000}"/>
    <cellStyle name="Normal 371 3 2 2 2" xfId="28793" xr:uid="{00000000-0005-0000-0000-000079700000}"/>
    <cellStyle name="Normal 371 3 2 3" xfId="28794" xr:uid="{00000000-0005-0000-0000-00007A700000}"/>
    <cellStyle name="Normal 371 3 2 3 2" xfId="28795" xr:uid="{00000000-0005-0000-0000-00007B700000}"/>
    <cellStyle name="Normal 371 3 2 3 2 2" xfId="28796" xr:uid="{00000000-0005-0000-0000-00007C700000}"/>
    <cellStyle name="Normal 371 3 2 3 3" xfId="28797" xr:uid="{00000000-0005-0000-0000-00007D700000}"/>
    <cellStyle name="Normal 371 3 2 4" xfId="28798" xr:uid="{00000000-0005-0000-0000-00007E700000}"/>
    <cellStyle name="Normal 371 3 3" xfId="28799" xr:uid="{00000000-0005-0000-0000-00007F700000}"/>
    <cellStyle name="Normal 371 3 3 2" xfId="28800" xr:uid="{00000000-0005-0000-0000-000080700000}"/>
    <cellStyle name="Normal 371 3 3 2 2" xfId="28801" xr:uid="{00000000-0005-0000-0000-000081700000}"/>
    <cellStyle name="Normal 371 3 3 3" xfId="28802" xr:uid="{00000000-0005-0000-0000-000082700000}"/>
    <cellStyle name="Normal 371 3 4" xfId="28803" xr:uid="{00000000-0005-0000-0000-000083700000}"/>
    <cellStyle name="Normal 371 3 4 2" xfId="28804" xr:uid="{00000000-0005-0000-0000-000084700000}"/>
    <cellStyle name="Normal 371 3 4 2 2" xfId="28805" xr:uid="{00000000-0005-0000-0000-000085700000}"/>
    <cellStyle name="Normal 371 3 4 3" xfId="28806" xr:uid="{00000000-0005-0000-0000-000086700000}"/>
    <cellStyle name="Normal 371 3 5" xfId="28807" xr:uid="{00000000-0005-0000-0000-000087700000}"/>
    <cellStyle name="Normal 371 3 5 2" xfId="28808" xr:uid="{00000000-0005-0000-0000-000088700000}"/>
    <cellStyle name="Normal 371 3 5 2 2" xfId="28809" xr:uid="{00000000-0005-0000-0000-000089700000}"/>
    <cellStyle name="Normal 371 3 5 3" xfId="28810" xr:uid="{00000000-0005-0000-0000-00008A700000}"/>
    <cellStyle name="Normal 371 3 6" xfId="28811" xr:uid="{00000000-0005-0000-0000-00008B700000}"/>
    <cellStyle name="Normal 371 4" xfId="28812" xr:uid="{00000000-0005-0000-0000-00008C700000}"/>
    <cellStyle name="Normal 371 4 2" xfId="28813" xr:uid="{00000000-0005-0000-0000-00008D700000}"/>
    <cellStyle name="Normal 371 4 2 2" xfId="28814" xr:uid="{00000000-0005-0000-0000-00008E700000}"/>
    <cellStyle name="Normal 371 4 3" xfId="28815" xr:uid="{00000000-0005-0000-0000-00008F700000}"/>
    <cellStyle name="Normal 371 5" xfId="28816" xr:uid="{00000000-0005-0000-0000-000090700000}"/>
    <cellStyle name="Normal 371 5 2" xfId="28817" xr:uid="{00000000-0005-0000-0000-000091700000}"/>
    <cellStyle name="Normal 371 5 2 2" xfId="28818" xr:uid="{00000000-0005-0000-0000-000092700000}"/>
    <cellStyle name="Normal 371 5 3" xfId="28819" xr:uid="{00000000-0005-0000-0000-000093700000}"/>
    <cellStyle name="Normal 371 6" xfId="28820" xr:uid="{00000000-0005-0000-0000-000094700000}"/>
    <cellStyle name="Normal 371 6 2" xfId="28821" xr:uid="{00000000-0005-0000-0000-000095700000}"/>
    <cellStyle name="Normal 371 6 2 2" xfId="28822" xr:uid="{00000000-0005-0000-0000-000096700000}"/>
    <cellStyle name="Normal 371 6 3" xfId="28823" xr:uid="{00000000-0005-0000-0000-000097700000}"/>
    <cellStyle name="Normal 371 7" xfId="28824" xr:uid="{00000000-0005-0000-0000-000098700000}"/>
    <cellStyle name="Normal 372" xfId="28825" xr:uid="{00000000-0005-0000-0000-000099700000}"/>
    <cellStyle name="Normal 372 2" xfId="28826" xr:uid="{00000000-0005-0000-0000-00009A700000}"/>
    <cellStyle name="Normal 372 2 2" xfId="28827" xr:uid="{00000000-0005-0000-0000-00009B700000}"/>
    <cellStyle name="Normal 372 2 2 2" xfId="28828" xr:uid="{00000000-0005-0000-0000-00009C700000}"/>
    <cellStyle name="Normal 372 2 3" xfId="28829" xr:uid="{00000000-0005-0000-0000-00009D700000}"/>
    <cellStyle name="Normal 372 2 3 2" xfId="28830" xr:uid="{00000000-0005-0000-0000-00009E700000}"/>
    <cellStyle name="Normal 372 2 3 2 2" xfId="28831" xr:uid="{00000000-0005-0000-0000-00009F700000}"/>
    <cellStyle name="Normal 372 2 3 3" xfId="28832" xr:uid="{00000000-0005-0000-0000-0000A0700000}"/>
    <cellStyle name="Normal 372 2 4" xfId="28833" xr:uid="{00000000-0005-0000-0000-0000A1700000}"/>
    <cellStyle name="Normal 372 2 4 2" xfId="28834" xr:uid="{00000000-0005-0000-0000-0000A2700000}"/>
    <cellStyle name="Normal 372 2 4 2 2" xfId="28835" xr:uid="{00000000-0005-0000-0000-0000A3700000}"/>
    <cellStyle name="Normal 372 2 4 3" xfId="28836" xr:uid="{00000000-0005-0000-0000-0000A4700000}"/>
    <cellStyle name="Normal 372 2 5" xfId="28837" xr:uid="{00000000-0005-0000-0000-0000A5700000}"/>
    <cellStyle name="Normal 372 3" xfId="28838" xr:uid="{00000000-0005-0000-0000-0000A6700000}"/>
    <cellStyle name="Normal 372 3 2" xfId="28839" xr:uid="{00000000-0005-0000-0000-0000A7700000}"/>
    <cellStyle name="Normal 372 3 2 2" xfId="28840" xr:uid="{00000000-0005-0000-0000-0000A8700000}"/>
    <cellStyle name="Normal 372 3 2 2 2" xfId="28841" xr:uid="{00000000-0005-0000-0000-0000A9700000}"/>
    <cellStyle name="Normal 372 3 2 3" xfId="28842" xr:uid="{00000000-0005-0000-0000-0000AA700000}"/>
    <cellStyle name="Normal 372 3 2 3 2" xfId="28843" xr:uid="{00000000-0005-0000-0000-0000AB700000}"/>
    <cellStyle name="Normal 372 3 2 3 2 2" xfId="28844" xr:uid="{00000000-0005-0000-0000-0000AC700000}"/>
    <cellStyle name="Normal 372 3 2 3 3" xfId="28845" xr:uid="{00000000-0005-0000-0000-0000AD700000}"/>
    <cellStyle name="Normal 372 3 2 4" xfId="28846" xr:uid="{00000000-0005-0000-0000-0000AE700000}"/>
    <cellStyle name="Normal 372 3 3" xfId="28847" xr:uid="{00000000-0005-0000-0000-0000AF700000}"/>
    <cellStyle name="Normal 372 3 3 2" xfId="28848" xr:uid="{00000000-0005-0000-0000-0000B0700000}"/>
    <cellStyle name="Normal 372 3 3 2 2" xfId="28849" xr:uid="{00000000-0005-0000-0000-0000B1700000}"/>
    <cellStyle name="Normal 372 3 3 3" xfId="28850" xr:uid="{00000000-0005-0000-0000-0000B2700000}"/>
    <cellStyle name="Normal 372 3 4" xfId="28851" xr:uid="{00000000-0005-0000-0000-0000B3700000}"/>
    <cellStyle name="Normal 372 3 4 2" xfId="28852" xr:uid="{00000000-0005-0000-0000-0000B4700000}"/>
    <cellStyle name="Normal 372 3 4 2 2" xfId="28853" xr:uid="{00000000-0005-0000-0000-0000B5700000}"/>
    <cellStyle name="Normal 372 3 4 3" xfId="28854" xr:uid="{00000000-0005-0000-0000-0000B6700000}"/>
    <cellStyle name="Normal 372 3 5" xfId="28855" xr:uid="{00000000-0005-0000-0000-0000B7700000}"/>
    <cellStyle name="Normal 372 3 5 2" xfId="28856" xr:uid="{00000000-0005-0000-0000-0000B8700000}"/>
    <cellStyle name="Normal 372 3 5 2 2" xfId="28857" xr:uid="{00000000-0005-0000-0000-0000B9700000}"/>
    <cellStyle name="Normal 372 3 5 3" xfId="28858" xr:uid="{00000000-0005-0000-0000-0000BA700000}"/>
    <cellStyle name="Normal 372 3 6" xfId="28859" xr:uid="{00000000-0005-0000-0000-0000BB700000}"/>
    <cellStyle name="Normal 372 4" xfId="28860" xr:uid="{00000000-0005-0000-0000-0000BC700000}"/>
    <cellStyle name="Normal 372 4 2" xfId="28861" xr:uid="{00000000-0005-0000-0000-0000BD700000}"/>
    <cellStyle name="Normal 372 4 2 2" xfId="28862" xr:uid="{00000000-0005-0000-0000-0000BE700000}"/>
    <cellStyle name="Normal 372 4 3" xfId="28863" xr:uid="{00000000-0005-0000-0000-0000BF700000}"/>
    <cellStyle name="Normal 372 5" xfId="28864" xr:uid="{00000000-0005-0000-0000-0000C0700000}"/>
    <cellStyle name="Normal 372 5 2" xfId="28865" xr:uid="{00000000-0005-0000-0000-0000C1700000}"/>
    <cellStyle name="Normal 372 5 2 2" xfId="28866" xr:uid="{00000000-0005-0000-0000-0000C2700000}"/>
    <cellStyle name="Normal 372 5 3" xfId="28867" xr:uid="{00000000-0005-0000-0000-0000C3700000}"/>
    <cellStyle name="Normal 372 6" xfId="28868" xr:uid="{00000000-0005-0000-0000-0000C4700000}"/>
    <cellStyle name="Normal 372 6 2" xfId="28869" xr:uid="{00000000-0005-0000-0000-0000C5700000}"/>
    <cellStyle name="Normal 372 6 2 2" xfId="28870" xr:uid="{00000000-0005-0000-0000-0000C6700000}"/>
    <cellStyle name="Normal 372 6 3" xfId="28871" xr:uid="{00000000-0005-0000-0000-0000C7700000}"/>
    <cellStyle name="Normal 372 7" xfId="28872" xr:uid="{00000000-0005-0000-0000-0000C8700000}"/>
    <cellStyle name="Normal 373" xfId="28873" xr:uid="{00000000-0005-0000-0000-0000C9700000}"/>
    <cellStyle name="Normal 373 2" xfId="28874" xr:uid="{00000000-0005-0000-0000-0000CA700000}"/>
    <cellStyle name="Normal 373 2 2" xfId="28875" xr:uid="{00000000-0005-0000-0000-0000CB700000}"/>
    <cellStyle name="Normal 373 2 2 2" xfId="28876" xr:uid="{00000000-0005-0000-0000-0000CC700000}"/>
    <cellStyle name="Normal 373 2 3" xfId="28877" xr:uid="{00000000-0005-0000-0000-0000CD700000}"/>
    <cellStyle name="Normal 373 2 3 2" xfId="28878" xr:uid="{00000000-0005-0000-0000-0000CE700000}"/>
    <cellStyle name="Normal 373 2 3 2 2" xfId="28879" xr:uid="{00000000-0005-0000-0000-0000CF700000}"/>
    <cellStyle name="Normal 373 2 3 3" xfId="28880" xr:uid="{00000000-0005-0000-0000-0000D0700000}"/>
    <cellStyle name="Normal 373 2 4" xfId="28881" xr:uid="{00000000-0005-0000-0000-0000D1700000}"/>
    <cellStyle name="Normal 373 2 4 2" xfId="28882" xr:uid="{00000000-0005-0000-0000-0000D2700000}"/>
    <cellStyle name="Normal 373 2 4 2 2" xfId="28883" xr:uid="{00000000-0005-0000-0000-0000D3700000}"/>
    <cellStyle name="Normal 373 2 4 3" xfId="28884" xr:uid="{00000000-0005-0000-0000-0000D4700000}"/>
    <cellStyle name="Normal 373 2 5" xfId="28885" xr:uid="{00000000-0005-0000-0000-0000D5700000}"/>
    <cellStyle name="Normal 373 3" xfId="28886" xr:uid="{00000000-0005-0000-0000-0000D6700000}"/>
    <cellStyle name="Normal 373 3 2" xfId="28887" xr:uid="{00000000-0005-0000-0000-0000D7700000}"/>
    <cellStyle name="Normal 373 3 2 2" xfId="28888" xr:uid="{00000000-0005-0000-0000-0000D8700000}"/>
    <cellStyle name="Normal 373 3 2 2 2" xfId="28889" xr:uid="{00000000-0005-0000-0000-0000D9700000}"/>
    <cellStyle name="Normal 373 3 2 3" xfId="28890" xr:uid="{00000000-0005-0000-0000-0000DA700000}"/>
    <cellStyle name="Normal 373 3 2 3 2" xfId="28891" xr:uid="{00000000-0005-0000-0000-0000DB700000}"/>
    <cellStyle name="Normal 373 3 2 3 2 2" xfId="28892" xr:uid="{00000000-0005-0000-0000-0000DC700000}"/>
    <cellStyle name="Normal 373 3 2 3 3" xfId="28893" xr:uid="{00000000-0005-0000-0000-0000DD700000}"/>
    <cellStyle name="Normal 373 3 2 4" xfId="28894" xr:uid="{00000000-0005-0000-0000-0000DE700000}"/>
    <cellStyle name="Normal 373 3 3" xfId="28895" xr:uid="{00000000-0005-0000-0000-0000DF700000}"/>
    <cellStyle name="Normal 373 3 3 2" xfId="28896" xr:uid="{00000000-0005-0000-0000-0000E0700000}"/>
    <cellStyle name="Normal 373 3 3 2 2" xfId="28897" xr:uid="{00000000-0005-0000-0000-0000E1700000}"/>
    <cellStyle name="Normal 373 3 3 3" xfId="28898" xr:uid="{00000000-0005-0000-0000-0000E2700000}"/>
    <cellStyle name="Normal 373 3 4" xfId="28899" xr:uid="{00000000-0005-0000-0000-0000E3700000}"/>
    <cellStyle name="Normal 373 3 4 2" xfId="28900" xr:uid="{00000000-0005-0000-0000-0000E4700000}"/>
    <cellStyle name="Normal 373 3 4 2 2" xfId="28901" xr:uid="{00000000-0005-0000-0000-0000E5700000}"/>
    <cellStyle name="Normal 373 3 4 3" xfId="28902" xr:uid="{00000000-0005-0000-0000-0000E6700000}"/>
    <cellStyle name="Normal 373 3 5" xfId="28903" xr:uid="{00000000-0005-0000-0000-0000E7700000}"/>
    <cellStyle name="Normal 373 3 5 2" xfId="28904" xr:uid="{00000000-0005-0000-0000-0000E8700000}"/>
    <cellStyle name="Normal 373 3 5 2 2" xfId="28905" xr:uid="{00000000-0005-0000-0000-0000E9700000}"/>
    <cellStyle name="Normal 373 3 5 3" xfId="28906" xr:uid="{00000000-0005-0000-0000-0000EA700000}"/>
    <cellStyle name="Normal 373 3 6" xfId="28907" xr:uid="{00000000-0005-0000-0000-0000EB700000}"/>
    <cellStyle name="Normal 373 4" xfId="28908" xr:uid="{00000000-0005-0000-0000-0000EC700000}"/>
    <cellStyle name="Normal 373 4 2" xfId="28909" xr:uid="{00000000-0005-0000-0000-0000ED700000}"/>
    <cellStyle name="Normal 373 4 2 2" xfId="28910" xr:uid="{00000000-0005-0000-0000-0000EE700000}"/>
    <cellStyle name="Normal 373 4 3" xfId="28911" xr:uid="{00000000-0005-0000-0000-0000EF700000}"/>
    <cellStyle name="Normal 373 5" xfId="28912" xr:uid="{00000000-0005-0000-0000-0000F0700000}"/>
    <cellStyle name="Normal 373 5 2" xfId="28913" xr:uid="{00000000-0005-0000-0000-0000F1700000}"/>
    <cellStyle name="Normal 373 5 2 2" xfId="28914" xr:uid="{00000000-0005-0000-0000-0000F2700000}"/>
    <cellStyle name="Normal 373 5 3" xfId="28915" xr:uid="{00000000-0005-0000-0000-0000F3700000}"/>
    <cellStyle name="Normal 373 6" xfId="28916" xr:uid="{00000000-0005-0000-0000-0000F4700000}"/>
    <cellStyle name="Normal 373 6 2" xfId="28917" xr:uid="{00000000-0005-0000-0000-0000F5700000}"/>
    <cellStyle name="Normal 373 6 2 2" xfId="28918" xr:uid="{00000000-0005-0000-0000-0000F6700000}"/>
    <cellStyle name="Normal 373 6 3" xfId="28919" xr:uid="{00000000-0005-0000-0000-0000F7700000}"/>
    <cellStyle name="Normal 373 7" xfId="28920" xr:uid="{00000000-0005-0000-0000-0000F8700000}"/>
    <cellStyle name="Normal 374" xfId="28921" xr:uid="{00000000-0005-0000-0000-0000F9700000}"/>
    <cellStyle name="Normal 374 2" xfId="28922" xr:uid="{00000000-0005-0000-0000-0000FA700000}"/>
    <cellStyle name="Normal 374 2 2" xfId="28923" xr:uid="{00000000-0005-0000-0000-0000FB700000}"/>
    <cellStyle name="Normal 374 2 2 2" xfId="28924" xr:uid="{00000000-0005-0000-0000-0000FC700000}"/>
    <cellStyle name="Normal 374 2 3" xfId="28925" xr:uid="{00000000-0005-0000-0000-0000FD700000}"/>
    <cellStyle name="Normal 374 2 3 2" xfId="28926" xr:uid="{00000000-0005-0000-0000-0000FE700000}"/>
    <cellStyle name="Normal 374 2 3 2 2" xfId="28927" xr:uid="{00000000-0005-0000-0000-0000FF700000}"/>
    <cellStyle name="Normal 374 2 3 3" xfId="28928" xr:uid="{00000000-0005-0000-0000-000000710000}"/>
    <cellStyle name="Normal 374 2 4" xfId="28929" xr:uid="{00000000-0005-0000-0000-000001710000}"/>
    <cellStyle name="Normal 374 2 4 2" xfId="28930" xr:uid="{00000000-0005-0000-0000-000002710000}"/>
    <cellStyle name="Normal 374 2 4 2 2" xfId="28931" xr:uid="{00000000-0005-0000-0000-000003710000}"/>
    <cellStyle name="Normal 374 2 4 3" xfId="28932" xr:uid="{00000000-0005-0000-0000-000004710000}"/>
    <cellStyle name="Normal 374 2 5" xfId="28933" xr:uid="{00000000-0005-0000-0000-000005710000}"/>
    <cellStyle name="Normal 374 3" xfId="28934" xr:uid="{00000000-0005-0000-0000-000006710000}"/>
    <cellStyle name="Normal 374 3 2" xfId="28935" xr:uid="{00000000-0005-0000-0000-000007710000}"/>
    <cellStyle name="Normal 374 3 2 2" xfId="28936" xr:uid="{00000000-0005-0000-0000-000008710000}"/>
    <cellStyle name="Normal 374 3 2 2 2" xfId="28937" xr:uid="{00000000-0005-0000-0000-000009710000}"/>
    <cellStyle name="Normal 374 3 2 3" xfId="28938" xr:uid="{00000000-0005-0000-0000-00000A710000}"/>
    <cellStyle name="Normal 374 3 2 3 2" xfId="28939" xr:uid="{00000000-0005-0000-0000-00000B710000}"/>
    <cellStyle name="Normal 374 3 2 3 2 2" xfId="28940" xr:uid="{00000000-0005-0000-0000-00000C710000}"/>
    <cellStyle name="Normal 374 3 2 3 3" xfId="28941" xr:uid="{00000000-0005-0000-0000-00000D710000}"/>
    <cellStyle name="Normal 374 3 2 4" xfId="28942" xr:uid="{00000000-0005-0000-0000-00000E710000}"/>
    <cellStyle name="Normal 374 3 3" xfId="28943" xr:uid="{00000000-0005-0000-0000-00000F710000}"/>
    <cellStyle name="Normal 374 3 3 2" xfId="28944" xr:uid="{00000000-0005-0000-0000-000010710000}"/>
    <cellStyle name="Normal 374 3 3 2 2" xfId="28945" xr:uid="{00000000-0005-0000-0000-000011710000}"/>
    <cellStyle name="Normal 374 3 3 3" xfId="28946" xr:uid="{00000000-0005-0000-0000-000012710000}"/>
    <cellStyle name="Normal 374 3 4" xfId="28947" xr:uid="{00000000-0005-0000-0000-000013710000}"/>
    <cellStyle name="Normal 374 3 4 2" xfId="28948" xr:uid="{00000000-0005-0000-0000-000014710000}"/>
    <cellStyle name="Normal 374 3 4 2 2" xfId="28949" xr:uid="{00000000-0005-0000-0000-000015710000}"/>
    <cellStyle name="Normal 374 3 4 3" xfId="28950" xr:uid="{00000000-0005-0000-0000-000016710000}"/>
    <cellStyle name="Normal 374 3 5" xfId="28951" xr:uid="{00000000-0005-0000-0000-000017710000}"/>
    <cellStyle name="Normal 374 3 5 2" xfId="28952" xr:uid="{00000000-0005-0000-0000-000018710000}"/>
    <cellStyle name="Normal 374 3 5 2 2" xfId="28953" xr:uid="{00000000-0005-0000-0000-000019710000}"/>
    <cellStyle name="Normal 374 3 5 3" xfId="28954" xr:uid="{00000000-0005-0000-0000-00001A710000}"/>
    <cellStyle name="Normal 374 3 6" xfId="28955" xr:uid="{00000000-0005-0000-0000-00001B710000}"/>
    <cellStyle name="Normal 374 4" xfId="28956" xr:uid="{00000000-0005-0000-0000-00001C710000}"/>
    <cellStyle name="Normal 374 4 2" xfId="28957" xr:uid="{00000000-0005-0000-0000-00001D710000}"/>
    <cellStyle name="Normal 374 4 2 2" xfId="28958" xr:uid="{00000000-0005-0000-0000-00001E710000}"/>
    <cellStyle name="Normal 374 4 3" xfId="28959" xr:uid="{00000000-0005-0000-0000-00001F710000}"/>
    <cellStyle name="Normal 374 5" xfId="28960" xr:uid="{00000000-0005-0000-0000-000020710000}"/>
    <cellStyle name="Normal 374 5 2" xfId="28961" xr:uid="{00000000-0005-0000-0000-000021710000}"/>
    <cellStyle name="Normal 374 5 2 2" xfId="28962" xr:uid="{00000000-0005-0000-0000-000022710000}"/>
    <cellStyle name="Normal 374 5 3" xfId="28963" xr:uid="{00000000-0005-0000-0000-000023710000}"/>
    <cellStyle name="Normal 374 6" xfId="28964" xr:uid="{00000000-0005-0000-0000-000024710000}"/>
    <cellStyle name="Normal 374 6 2" xfId="28965" xr:uid="{00000000-0005-0000-0000-000025710000}"/>
    <cellStyle name="Normal 374 6 2 2" xfId="28966" xr:uid="{00000000-0005-0000-0000-000026710000}"/>
    <cellStyle name="Normal 374 6 3" xfId="28967" xr:uid="{00000000-0005-0000-0000-000027710000}"/>
    <cellStyle name="Normal 374 7" xfId="28968" xr:uid="{00000000-0005-0000-0000-000028710000}"/>
    <cellStyle name="Normal 375" xfId="28969" xr:uid="{00000000-0005-0000-0000-000029710000}"/>
    <cellStyle name="Normal 375 2" xfId="28970" xr:uid="{00000000-0005-0000-0000-00002A710000}"/>
    <cellStyle name="Normal 375 2 2" xfId="28971" xr:uid="{00000000-0005-0000-0000-00002B710000}"/>
    <cellStyle name="Normal 375 2 2 2" xfId="28972" xr:uid="{00000000-0005-0000-0000-00002C710000}"/>
    <cellStyle name="Normal 375 2 3" xfId="28973" xr:uid="{00000000-0005-0000-0000-00002D710000}"/>
    <cellStyle name="Normal 375 2 3 2" xfId="28974" xr:uid="{00000000-0005-0000-0000-00002E710000}"/>
    <cellStyle name="Normal 375 2 3 2 2" xfId="28975" xr:uid="{00000000-0005-0000-0000-00002F710000}"/>
    <cellStyle name="Normal 375 2 3 3" xfId="28976" xr:uid="{00000000-0005-0000-0000-000030710000}"/>
    <cellStyle name="Normal 375 2 4" xfId="28977" xr:uid="{00000000-0005-0000-0000-000031710000}"/>
    <cellStyle name="Normal 375 2 4 2" xfId="28978" xr:uid="{00000000-0005-0000-0000-000032710000}"/>
    <cellStyle name="Normal 375 2 4 2 2" xfId="28979" xr:uid="{00000000-0005-0000-0000-000033710000}"/>
    <cellStyle name="Normal 375 2 4 3" xfId="28980" xr:uid="{00000000-0005-0000-0000-000034710000}"/>
    <cellStyle name="Normal 375 2 5" xfId="28981" xr:uid="{00000000-0005-0000-0000-000035710000}"/>
    <cellStyle name="Normal 375 3" xfId="28982" xr:uid="{00000000-0005-0000-0000-000036710000}"/>
    <cellStyle name="Normal 375 3 2" xfId="28983" xr:uid="{00000000-0005-0000-0000-000037710000}"/>
    <cellStyle name="Normal 375 3 2 2" xfId="28984" xr:uid="{00000000-0005-0000-0000-000038710000}"/>
    <cellStyle name="Normal 375 3 2 2 2" xfId="28985" xr:uid="{00000000-0005-0000-0000-000039710000}"/>
    <cellStyle name="Normal 375 3 2 3" xfId="28986" xr:uid="{00000000-0005-0000-0000-00003A710000}"/>
    <cellStyle name="Normal 375 3 2 3 2" xfId="28987" xr:uid="{00000000-0005-0000-0000-00003B710000}"/>
    <cellStyle name="Normal 375 3 2 3 2 2" xfId="28988" xr:uid="{00000000-0005-0000-0000-00003C710000}"/>
    <cellStyle name="Normal 375 3 2 3 3" xfId="28989" xr:uid="{00000000-0005-0000-0000-00003D710000}"/>
    <cellStyle name="Normal 375 3 2 4" xfId="28990" xr:uid="{00000000-0005-0000-0000-00003E710000}"/>
    <cellStyle name="Normal 375 3 3" xfId="28991" xr:uid="{00000000-0005-0000-0000-00003F710000}"/>
    <cellStyle name="Normal 375 3 3 2" xfId="28992" xr:uid="{00000000-0005-0000-0000-000040710000}"/>
    <cellStyle name="Normal 375 3 3 2 2" xfId="28993" xr:uid="{00000000-0005-0000-0000-000041710000}"/>
    <cellStyle name="Normal 375 3 3 3" xfId="28994" xr:uid="{00000000-0005-0000-0000-000042710000}"/>
    <cellStyle name="Normal 375 3 4" xfId="28995" xr:uid="{00000000-0005-0000-0000-000043710000}"/>
    <cellStyle name="Normal 375 3 4 2" xfId="28996" xr:uid="{00000000-0005-0000-0000-000044710000}"/>
    <cellStyle name="Normal 375 3 4 2 2" xfId="28997" xr:uid="{00000000-0005-0000-0000-000045710000}"/>
    <cellStyle name="Normal 375 3 4 3" xfId="28998" xr:uid="{00000000-0005-0000-0000-000046710000}"/>
    <cellStyle name="Normal 375 3 5" xfId="28999" xr:uid="{00000000-0005-0000-0000-000047710000}"/>
    <cellStyle name="Normal 375 3 5 2" xfId="29000" xr:uid="{00000000-0005-0000-0000-000048710000}"/>
    <cellStyle name="Normal 375 3 5 2 2" xfId="29001" xr:uid="{00000000-0005-0000-0000-000049710000}"/>
    <cellStyle name="Normal 375 3 5 3" xfId="29002" xr:uid="{00000000-0005-0000-0000-00004A710000}"/>
    <cellStyle name="Normal 375 3 6" xfId="29003" xr:uid="{00000000-0005-0000-0000-00004B710000}"/>
    <cellStyle name="Normal 375 4" xfId="29004" xr:uid="{00000000-0005-0000-0000-00004C710000}"/>
    <cellStyle name="Normal 375 4 2" xfId="29005" xr:uid="{00000000-0005-0000-0000-00004D710000}"/>
    <cellStyle name="Normal 375 4 2 2" xfId="29006" xr:uid="{00000000-0005-0000-0000-00004E710000}"/>
    <cellStyle name="Normal 375 4 3" xfId="29007" xr:uid="{00000000-0005-0000-0000-00004F710000}"/>
    <cellStyle name="Normal 375 5" xfId="29008" xr:uid="{00000000-0005-0000-0000-000050710000}"/>
    <cellStyle name="Normal 375 5 2" xfId="29009" xr:uid="{00000000-0005-0000-0000-000051710000}"/>
    <cellStyle name="Normal 375 5 2 2" xfId="29010" xr:uid="{00000000-0005-0000-0000-000052710000}"/>
    <cellStyle name="Normal 375 5 3" xfId="29011" xr:uid="{00000000-0005-0000-0000-000053710000}"/>
    <cellStyle name="Normal 375 6" xfId="29012" xr:uid="{00000000-0005-0000-0000-000054710000}"/>
    <cellStyle name="Normal 375 6 2" xfId="29013" xr:uid="{00000000-0005-0000-0000-000055710000}"/>
    <cellStyle name="Normal 375 6 2 2" xfId="29014" xr:uid="{00000000-0005-0000-0000-000056710000}"/>
    <cellStyle name="Normal 375 6 3" xfId="29015" xr:uid="{00000000-0005-0000-0000-000057710000}"/>
    <cellStyle name="Normal 375 7" xfId="29016" xr:uid="{00000000-0005-0000-0000-000058710000}"/>
    <cellStyle name="Normal 376" xfId="29017" xr:uid="{00000000-0005-0000-0000-000059710000}"/>
    <cellStyle name="Normal 376 2" xfId="29018" xr:uid="{00000000-0005-0000-0000-00005A710000}"/>
    <cellStyle name="Normal 376 2 2" xfId="29019" xr:uid="{00000000-0005-0000-0000-00005B710000}"/>
    <cellStyle name="Normal 376 2 2 2" xfId="29020" xr:uid="{00000000-0005-0000-0000-00005C710000}"/>
    <cellStyle name="Normal 376 2 3" xfId="29021" xr:uid="{00000000-0005-0000-0000-00005D710000}"/>
    <cellStyle name="Normal 376 2 3 2" xfId="29022" xr:uid="{00000000-0005-0000-0000-00005E710000}"/>
    <cellStyle name="Normal 376 2 3 2 2" xfId="29023" xr:uid="{00000000-0005-0000-0000-00005F710000}"/>
    <cellStyle name="Normal 376 2 3 3" xfId="29024" xr:uid="{00000000-0005-0000-0000-000060710000}"/>
    <cellStyle name="Normal 376 2 4" xfId="29025" xr:uid="{00000000-0005-0000-0000-000061710000}"/>
    <cellStyle name="Normal 376 2 4 2" xfId="29026" xr:uid="{00000000-0005-0000-0000-000062710000}"/>
    <cellStyle name="Normal 376 2 4 2 2" xfId="29027" xr:uid="{00000000-0005-0000-0000-000063710000}"/>
    <cellStyle name="Normal 376 2 4 3" xfId="29028" xr:uid="{00000000-0005-0000-0000-000064710000}"/>
    <cellStyle name="Normal 376 2 5" xfId="29029" xr:uid="{00000000-0005-0000-0000-000065710000}"/>
    <cellStyle name="Normal 376 3" xfId="29030" xr:uid="{00000000-0005-0000-0000-000066710000}"/>
    <cellStyle name="Normal 376 3 2" xfId="29031" xr:uid="{00000000-0005-0000-0000-000067710000}"/>
    <cellStyle name="Normal 376 3 2 2" xfId="29032" xr:uid="{00000000-0005-0000-0000-000068710000}"/>
    <cellStyle name="Normal 376 3 2 2 2" xfId="29033" xr:uid="{00000000-0005-0000-0000-000069710000}"/>
    <cellStyle name="Normal 376 3 2 3" xfId="29034" xr:uid="{00000000-0005-0000-0000-00006A710000}"/>
    <cellStyle name="Normal 376 3 2 3 2" xfId="29035" xr:uid="{00000000-0005-0000-0000-00006B710000}"/>
    <cellStyle name="Normal 376 3 2 3 2 2" xfId="29036" xr:uid="{00000000-0005-0000-0000-00006C710000}"/>
    <cellStyle name="Normal 376 3 2 3 3" xfId="29037" xr:uid="{00000000-0005-0000-0000-00006D710000}"/>
    <cellStyle name="Normal 376 3 2 4" xfId="29038" xr:uid="{00000000-0005-0000-0000-00006E710000}"/>
    <cellStyle name="Normal 376 3 3" xfId="29039" xr:uid="{00000000-0005-0000-0000-00006F710000}"/>
    <cellStyle name="Normal 376 3 3 2" xfId="29040" xr:uid="{00000000-0005-0000-0000-000070710000}"/>
    <cellStyle name="Normal 376 3 3 2 2" xfId="29041" xr:uid="{00000000-0005-0000-0000-000071710000}"/>
    <cellStyle name="Normal 376 3 3 3" xfId="29042" xr:uid="{00000000-0005-0000-0000-000072710000}"/>
    <cellStyle name="Normal 376 3 4" xfId="29043" xr:uid="{00000000-0005-0000-0000-000073710000}"/>
    <cellStyle name="Normal 376 3 4 2" xfId="29044" xr:uid="{00000000-0005-0000-0000-000074710000}"/>
    <cellStyle name="Normal 376 3 4 2 2" xfId="29045" xr:uid="{00000000-0005-0000-0000-000075710000}"/>
    <cellStyle name="Normal 376 3 4 3" xfId="29046" xr:uid="{00000000-0005-0000-0000-000076710000}"/>
    <cellStyle name="Normal 376 3 5" xfId="29047" xr:uid="{00000000-0005-0000-0000-000077710000}"/>
    <cellStyle name="Normal 376 3 5 2" xfId="29048" xr:uid="{00000000-0005-0000-0000-000078710000}"/>
    <cellStyle name="Normal 376 3 5 2 2" xfId="29049" xr:uid="{00000000-0005-0000-0000-000079710000}"/>
    <cellStyle name="Normal 376 3 5 3" xfId="29050" xr:uid="{00000000-0005-0000-0000-00007A710000}"/>
    <cellStyle name="Normal 376 3 6" xfId="29051" xr:uid="{00000000-0005-0000-0000-00007B710000}"/>
    <cellStyle name="Normal 376 4" xfId="29052" xr:uid="{00000000-0005-0000-0000-00007C710000}"/>
    <cellStyle name="Normal 376 4 2" xfId="29053" xr:uid="{00000000-0005-0000-0000-00007D710000}"/>
    <cellStyle name="Normal 376 4 2 2" xfId="29054" xr:uid="{00000000-0005-0000-0000-00007E710000}"/>
    <cellStyle name="Normal 376 4 3" xfId="29055" xr:uid="{00000000-0005-0000-0000-00007F710000}"/>
    <cellStyle name="Normal 376 5" xfId="29056" xr:uid="{00000000-0005-0000-0000-000080710000}"/>
    <cellStyle name="Normal 376 5 2" xfId="29057" xr:uid="{00000000-0005-0000-0000-000081710000}"/>
    <cellStyle name="Normal 376 5 2 2" xfId="29058" xr:uid="{00000000-0005-0000-0000-000082710000}"/>
    <cellStyle name="Normal 376 5 3" xfId="29059" xr:uid="{00000000-0005-0000-0000-000083710000}"/>
    <cellStyle name="Normal 376 6" xfId="29060" xr:uid="{00000000-0005-0000-0000-000084710000}"/>
    <cellStyle name="Normal 376 6 2" xfId="29061" xr:uid="{00000000-0005-0000-0000-000085710000}"/>
    <cellStyle name="Normal 376 6 2 2" xfId="29062" xr:uid="{00000000-0005-0000-0000-000086710000}"/>
    <cellStyle name="Normal 376 6 3" xfId="29063" xr:uid="{00000000-0005-0000-0000-000087710000}"/>
    <cellStyle name="Normal 376 7" xfId="29064" xr:uid="{00000000-0005-0000-0000-000088710000}"/>
    <cellStyle name="Normal 377" xfId="29065" xr:uid="{00000000-0005-0000-0000-000089710000}"/>
    <cellStyle name="Normal 377 2" xfId="29066" xr:uid="{00000000-0005-0000-0000-00008A710000}"/>
    <cellStyle name="Normal 377 2 2" xfId="29067" xr:uid="{00000000-0005-0000-0000-00008B710000}"/>
    <cellStyle name="Normal 377 2 2 2" xfId="29068" xr:uid="{00000000-0005-0000-0000-00008C710000}"/>
    <cellStyle name="Normal 377 2 3" xfId="29069" xr:uid="{00000000-0005-0000-0000-00008D710000}"/>
    <cellStyle name="Normal 377 2 3 2" xfId="29070" xr:uid="{00000000-0005-0000-0000-00008E710000}"/>
    <cellStyle name="Normal 377 2 3 2 2" xfId="29071" xr:uid="{00000000-0005-0000-0000-00008F710000}"/>
    <cellStyle name="Normal 377 2 3 3" xfId="29072" xr:uid="{00000000-0005-0000-0000-000090710000}"/>
    <cellStyle name="Normal 377 2 4" xfId="29073" xr:uid="{00000000-0005-0000-0000-000091710000}"/>
    <cellStyle name="Normal 377 2 4 2" xfId="29074" xr:uid="{00000000-0005-0000-0000-000092710000}"/>
    <cellStyle name="Normal 377 2 4 2 2" xfId="29075" xr:uid="{00000000-0005-0000-0000-000093710000}"/>
    <cellStyle name="Normal 377 2 4 3" xfId="29076" xr:uid="{00000000-0005-0000-0000-000094710000}"/>
    <cellStyle name="Normal 377 2 5" xfId="29077" xr:uid="{00000000-0005-0000-0000-000095710000}"/>
    <cellStyle name="Normal 377 3" xfId="29078" xr:uid="{00000000-0005-0000-0000-000096710000}"/>
    <cellStyle name="Normal 377 3 2" xfId="29079" xr:uid="{00000000-0005-0000-0000-000097710000}"/>
    <cellStyle name="Normal 377 3 2 2" xfId="29080" xr:uid="{00000000-0005-0000-0000-000098710000}"/>
    <cellStyle name="Normal 377 3 2 2 2" xfId="29081" xr:uid="{00000000-0005-0000-0000-000099710000}"/>
    <cellStyle name="Normal 377 3 2 3" xfId="29082" xr:uid="{00000000-0005-0000-0000-00009A710000}"/>
    <cellStyle name="Normal 377 3 2 3 2" xfId="29083" xr:uid="{00000000-0005-0000-0000-00009B710000}"/>
    <cellStyle name="Normal 377 3 2 3 2 2" xfId="29084" xr:uid="{00000000-0005-0000-0000-00009C710000}"/>
    <cellStyle name="Normal 377 3 2 3 3" xfId="29085" xr:uid="{00000000-0005-0000-0000-00009D710000}"/>
    <cellStyle name="Normal 377 3 2 4" xfId="29086" xr:uid="{00000000-0005-0000-0000-00009E710000}"/>
    <cellStyle name="Normal 377 3 3" xfId="29087" xr:uid="{00000000-0005-0000-0000-00009F710000}"/>
    <cellStyle name="Normal 377 3 3 2" xfId="29088" xr:uid="{00000000-0005-0000-0000-0000A0710000}"/>
    <cellStyle name="Normal 377 3 3 2 2" xfId="29089" xr:uid="{00000000-0005-0000-0000-0000A1710000}"/>
    <cellStyle name="Normal 377 3 3 3" xfId="29090" xr:uid="{00000000-0005-0000-0000-0000A2710000}"/>
    <cellStyle name="Normal 377 3 4" xfId="29091" xr:uid="{00000000-0005-0000-0000-0000A3710000}"/>
    <cellStyle name="Normal 377 3 4 2" xfId="29092" xr:uid="{00000000-0005-0000-0000-0000A4710000}"/>
    <cellStyle name="Normal 377 3 4 2 2" xfId="29093" xr:uid="{00000000-0005-0000-0000-0000A5710000}"/>
    <cellStyle name="Normal 377 3 4 3" xfId="29094" xr:uid="{00000000-0005-0000-0000-0000A6710000}"/>
    <cellStyle name="Normal 377 3 5" xfId="29095" xr:uid="{00000000-0005-0000-0000-0000A7710000}"/>
    <cellStyle name="Normal 377 3 5 2" xfId="29096" xr:uid="{00000000-0005-0000-0000-0000A8710000}"/>
    <cellStyle name="Normal 377 3 5 2 2" xfId="29097" xr:uid="{00000000-0005-0000-0000-0000A9710000}"/>
    <cellStyle name="Normal 377 3 5 3" xfId="29098" xr:uid="{00000000-0005-0000-0000-0000AA710000}"/>
    <cellStyle name="Normal 377 3 6" xfId="29099" xr:uid="{00000000-0005-0000-0000-0000AB710000}"/>
    <cellStyle name="Normal 377 4" xfId="29100" xr:uid="{00000000-0005-0000-0000-0000AC710000}"/>
    <cellStyle name="Normal 377 4 2" xfId="29101" xr:uid="{00000000-0005-0000-0000-0000AD710000}"/>
    <cellStyle name="Normal 377 4 2 2" xfId="29102" xr:uid="{00000000-0005-0000-0000-0000AE710000}"/>
    <cellStyle name="Normal 377 4 3" xfId="29103" xr:uid="{00000000-0005-0000-0000-0000AF710000}"/>
    <cellStyle name="Normal 377 5" xfId="29104" xr:uid="{00000000-0005-0000-0000-0000B0710000}"/>
    <cellStyle name="Normal 377 5 2" xfId="29105" xr:uid="{00000000-0005-0000-0000-0000B1710000}"/>
    <cellStyle name="Normal 377 5 2 2" xfId="29106" xr:uid="{00000000-0005-0000-0000-0000B2710000}"/>
    <cellStyle name="Normal 377 5 3" xfId="29107" xr:uid="{00000000-0005-0000-0000-0000B3710000}"/>
    <cellStyle name="Normal 377 6" xfId="29108" xr:uid="{00000000-0005-0000-0000-0000B4710000}"/>
    <cellStyle name="Normal 377 6 2" xfId="29109" xr:uid="{00000000-0005-0000-0000-0000B5710000}"/>
    <cellStyle name="Normal 377 6 2 2" xfId="29110" xr:uid="{00000000-0005-0000-0000-0000B6710000}"/>
    <cellStyle name="Normal 377 6 3" xfId="29111" xr:uid="{00000000-0005-0000-0000-0000B7710000}"/>
    <cellStyle name="Normal 377 7" xfId="29112" xr:uid="{00000000-0005-0000-0000-0000B8710000}"/>
    <cellStyle name="Normal 378" xfId="29113" xr:uid="{00000000-0005-0000-0000-0000B9710000}"/>
    <cellStyle name="Normal 378 2" xfId="29114" xr:uid="{00000000-0005-0000-0000-0000BA710000}"/>
    <cellStyle name="Normal 378 2 2" xfId="29115" xr:uid="{00000000-0005-0000-0000-0000BB710000}"/>
    <cellStyle name="Normal 378 2 2 2" xfId="29116" xr:uid="{00000000-0005-0000-0000-0000BC710000}"/>
    <cellStyle name="Normal 378 2 3" xfId="29117" xr:uid="{00000000-0005-0000-0000-0000BD710000}"/>
    <cellStyle name="Normal 378 2 3 2" xfId="29118" xr:uid="{00000000-0005-0000-0000-0000BE710000}"/>
    <cellStyle name="Normal 378 2 3 2 2" xfId="29119" xr:uid="{00000000-0005-0000-0000-0000BF710000}"/>
    <cellStyle name="Normal 378 2 3 3" xfId="29120" xr:uid="{00000000-0005-0000-0000-0000C0710000}"/>
    <cellStyle name="Normal 378 2 4" xfId="29121" xr:uid="{00000000-0005-0000-0000-0000C1710000}"/>
    <cellStyle name="Normal 378 2 4 2" xfId="29122" xr:uid="{00000000-0005-0000-0000-0000C2710000}"/>
    <cellStyle name="Normal 378 2 4 2 2" xfId="29123" xr:uid="{00000000-0005-0000-0000-0000C3710000}"/>
    <cellStyle name="Normal 378 2 4 3" xfId="29124" xr:uid="{00000000-0005-0000-0000-0000C4710000}"/>
    <cellStyle name="Normal 378 2 5" xfId="29125" xr:uid="{00000000-0005-0000-0000-0000C5710000}"/>
    <cellStyle name="Normal 378 3" xfId="29126" xr:uid="{00000000-0005-0000-0000-0000C6710000}"/>
    <cellStyle name="Normal 378 3 2" xfId="29127" xr:uid="{00000000-0005-0000-0000-0000C7710000}"/>
    <cellStyle name="Normal 378 3 2 2" xfId="29128" xr:uid="{00000000-0005-0000-0000-0000C8710000}"/>
    <cellStyle name="Normal 378 3 2 2 2" xfId="29129" xr:uid="{00000000-0005-0000-0000-0000C9710000}"/>
    <cellStyle name="Normal 378 3 2 3" xfId="29130" xr:uid="{00000000-0005-0000-0000-0000CA710000}"/>
    <cellStyle name="Normal 378 3 2 3 2" xfId="29131" xr:uid="{00000000-0005-0000-0000-0000CB710000}"/>
    <cellStyle name="Normal 378 3 2 3 2 2" xfId="29132" xr:uid="{00000000-0005-0000-0000-0000CC710000}"/>
    <cellStyle name="Normal 378 3 2 3 3" xfId="29133" xr:uid="{00000000-0005-0000-0000-0000CD710000}"/>
    <cellStyle name="Normal 378 3 2 4" xfId="29134" xr:uid="{00000000-0005-0000-0000-0000CE710000}"/>
    <cellStyle name="Normal 378 3 3" xfId="29135" xr:uid="{00000000-0005-0000-0000-0000CF710000}"/>
    <cellStyle name="Normal 378 3 3 2" xfId="29136" xr:uid="{00000000-0005-0000-0000-0000D0710000}"/>
    <cellStyle name="Normal 378 3 3 2 2" xfId="29137" xr:uid="{00000000-0005-0000-0000-0000D1710000}"/>
    <cellStyle name="Normal 378 3 3 3" xfId="29138" xr:uid="{00000000-0005-0000-0000-0000D2710000}"/>
    <cellStyle name="Normal 378 3 4" xfId="29139" xr:uid="{00000000-0005-0000-0000-0000D3710000}"/>
    <cellStyle name="Normal 378 3 4 2" xfId="29140" xr:uid="{00000000-0005-0000-0000-0000D4710000}"/>
    <cellStyle name="Normal 378 3 4 2 2" xfId="29141" xr:uid="{00000000-0005-0000-0000-0000D5710000}"/>
    <cellStyle name="Normal 378 3 4 3" xfId="29142" xr:uid="{00000000-0005-0000-0000-0000D6710000}"/>
    <cellStyle name="Normal 378 3 5" xfId="29143" xr:uid="{00000000-0005-0000-0000-0000D7710000}"/>
    <cellStyle name="Normal 378 3 5 2" xfId="29144" xr:uid="{00000000-0005-0000-0000-0000D8710000}"/>
    <cellStyle name="Normal 378 3 5 2 2" xfId="29145" xr:uid="{00000000-0005-0000-0000-0000D9710000}"/>
    <cellStyle name="Normal 378 3 5 3" xfId="29146" xr:uid="{00000000-0005-0000-0000-0000DA710000}"/>
    <cellStyle name="Normal 378 3 6" xfId="29147" xr:uid="{00000000-0005-0000-0000-0000DB710000}"/>
    <cellStyle name="Normal 378 4" xfId="29148" xr:uid="{00000000-0005-0000-0000-0000DC710000}"/>
    <cellStyle name="Normal 378 4 2" xfId="29149" xr:uid="{00000000-0005-0000-0000-0000DD710000}"/>
    <cellStyle name="Normal 378 4 2 2" xfId="29150" xr:uid="{00000000-0005-0000-0000-0000DE710000}"/>
    <cellStyle name="Normal 378 4 3" xfId="29151" xr:uid="{00000000-0005-0000-0000-0000DF710000}"/>
    <cellStyle name="Normal 378 5" xfId="29152" xr:uid="{00000000-0005-0000-0000-0000E0710000}"/>
    <cellStyle name="Normal 378 5 2" xfId="29153" xr:uid="{00000000-0005-0000-0000-0000E1710000}"/>
    <cellStyle name="Normal 378 5 2 2" xfId="29154" xr:uid="{00000000-0005-0000-0000-0000E2710000}"/>
    <cellStyle name="Normal 378 5 3" xfId="29155" xr:uid="{00000000-0005-0000-0000-0000E3710000}"/>
    <cellStyle name="Normal 378 6" xfId="29156" xr:uid="{00000000-0005-0000-0000-0000E4710000}"/>
    <cellStyle name="Normal 378 6 2" xfId="29157" xr:uid="{00000000-0005-0000-0000-0000E5710000}"/>
    <cellStyle name="Normal 378 6 2 2" xfId="29158" xr:uid="{00000000-0005-0000-0000-0000E6710000}"/>
    <cellStyle name="Normal 378 6 3" xfId="29159" xr:uid="{00000000-0005-0000-0000-0000E7710000}"/>
    <cellStyle name="Normal 378 7" xfId="29160" xr:uid="{00000000-0005-0000-0000-0000E8710000}"/>
    <cellStyle name="Normal 379" xfId="29161" xr:uid="{00000000-0005-0000-0000-0000E9710000}"/>
    <cellStyle name="Normal 379 2" xfId="29162" xr:uid="{00000000-0005-0000-0000-0000EA710000}"/>
    <cellStyle name="Normal 379 2 2" xfId="29163" xr:uid="{00000000-0005-0000-0000-0000EB710000}"/>
    <cellStyle name="Normal 379 2 2 2" xfId="29164" xr:uid="{00000000-0005-0000-0000-0000EC710000}"/>
    <cellStyle name="Normal 379 2 3" xfId="29165" xr:uid="{00000000-0005-0000-0000-0000ED710000}"/>
    <cellStyle name="Normal 379 2 3 2" xfId="29166" xr:uid="{00000000-0005-0000-0000-0000EE710000}"/>
    <cellStyle name="Normal 379 2 3 2 2" xfId="29167" xr:uid="{00000000-0005-0000-0000-0000EF710000}"/>
    <cellStyle name="Normal 379 2 3 3" xfId="29168" xr:uid="{00000000-0005-0000-0000-0000F0710000}"/>
    <cellStyle name="Normal 379 2 4" xfId="29169" xr:uid="{00000000-0005-0000-0000-0000F1710000}"/>
    <cellStyle name="Normal 379 2 4 2" xfId="29170" xr:uid="{00000000-0005-0000-0000-0000F2710000}"/>
    <cellStyle name="Normal 379 2 4 2 2" xfId="29171" xr:uid="{00000000-0005-0000-0000-0000F3710000}"/>
    <cellStyle name="Normal 379 2 4 3" xfId="29172" xr:uid="{00000000-0005-0000-0000-0000F4710000}"/>
    <cellStyle name="Normal 379 2 5" xfId="29173" xr:uid="{00000000-0005-0000-0000-0000F5710000}"/>
    <cellStyle name="Normal 379 3" xfId="29174" xr:uid="{00000000-0005-0000-0000-0000F6710000}"/>
    <cellStyle name="Normal 379 3 2" xfId="29175" xr:uid="{00000000-0005-0000-0000-0000F7710000}"/>
    <cellStyle name="Normal 379 3 2 2" xfId="29176" xr:uid="{00000000-0005-0000-0000-0000F8710000}"/>
    <cellStyle name="Normal 379 3 2 2 2" xfId="29177" xr:uid="{00000000-0005-0000-0000-0000F9710000}"/>
    <cellStyle name="Normal 379 3 2 3" xfId="29178" xr:uid="{00000000-0005-0000-0000-0000FA710000}"/>
    <cellStyle name="Normal 379 3 2 3 2" xfId="29179" xr:uid="{00000000-0005-0000-0000-0000FB710000}"/>
    <cellStyle name="Normal 379 3 2 3 2 2" xfId="29180" xr:uid="{00000000-0005-0000-0000-0000FC710000}"/>
    <cellStyle name="Normal 379 3 2 3 3" xfId="29181" xr:uid="{00000000-0005-0000-0000-0000FD710000}"/>
    <cellStyle name="Normal 379 3 2 4" xfId="29182" xr:uid="{00000000-0005-0000-0000-0000FE710000}"/>
    <cellStyle name="Normal 379 3 3" xfId="29183" xr:uid="{00000000-0005-0000-0000-0000FF710000}"/>
    <cellStyle name="Normal 379 3 3 2" xfId="29184" xr:uid="{00000000-0005-0000-0000-000000720000}"/>
    <cellStyle name="Normal 379 3 3 2 2" xfId="29185" xr:uid="{00000000-0005-0000-0000-000001720000}"/>
    <cellStyle name="Normal 379 3 3 3" xfId="29186" xr:uid="{00000000-0005-0000-0000-000002720000}"/>
    <cellStyle name="Normal 379 3 4" xfId="29187" xr:uid="{00000000-0005-0000-0000-000003720000}"/>
    <cellStyle name="Normal 379 3 4 2" xfId="29188" xr:uid="{00000000-0005-0000-0000-000004720000}"/>
    <cellStyle name="Normal 379 3 4 2 2" xfId="29189" xr:uid="{00000000-0005-0000-0000-000005720000}"/>
    <cellStyle name="Normal 379 3 4 3" xfId="29190" xr:uid="{00000000-0005-0000-0000-000006720000}"/>
    <cellStyle name="Normal 379 3 5" xfId="29191" xr:uid="{00000000-0005-0000-0000-000007720000}"/>
    <cellStyle name="Normal 379 3 5 2" xfId="29192" xr:uid="{00000000-0005-0000-0000-000008720000}"/>
    <cellStyle name="Normal 379 3 5 2 2" xfId="29193" xr:uid="{00000000-0005-0000-0000-000009720000}"/>
    <cellStyle name="Normal 379 3 5 3" xfId="29194" xr:uid="{00000000-0005-0000-0000-00000A720000}"/>
    <cellStyle name="Normal 379 3 6" xfId="29195" xr:uid="{00000000-0005-0000-0000-00000B720000}"/>
    <cellStyle name="Normal 379 4" xfId="29196" xr:uid="{00000000-0005-0000-0000-00000C720000}"/>
    <cellStyle name="Normal 379 4 2" xfId="29197" xr:uid="{00000000-0005-0000-0000-00000D720000}"/>
    <cellStyle name="Normal 379 4 2 2" xfId="29198" xr:uid="{00000000-0005-0000-0000-00000E720000}"/>
    <cellStyle name="Normal 379 4 3" xfId="29199" xr:uid="{00000000-0005-0000-0000-00000F720000}"/>
    <cellStyle name="Normal 379 5" xfId="29200" xr:uid="{00000000-0005-0000-0000-000010720000}"/>
    <cellStyle name="Normal 379 5 2" xfId="29201" xr:uid="{00000000-0005-0000-0000-000011720000}"/>
    <cellStyle name="Normal 379 5 2 2" xfId="29202" xr:uid="{00000000-0005-0000-0000-000012720000}"/>
    <cellStyle name="Normal 379 5 3" xfId="29203" xr:uid="{00000000-0005-0000-0000-000013720000}"/>
    <cellStyle name="Normal 379 6" xfId="29204" xr:uid="{00000000-0005-0000-0000-000014720000}"/>
    <cellStyle name="Normal 379 6 2" xfId="29205" xr:uid="{00000000-0005-0000-0000-000015720000}"/>
    <cellStyle name="Normal 379 6 2 2" xfId="29206" xr:uid="{00000000-0005-0000-0000-000016720000}"/>
    <cellStyle name="Normal 379 6 3" xfId="29207" xr:uid="{00000000-0005-0000-0000-000017720000}"/>
    <cellStyle name="Normal 379 7" xfId="29208" xr:uid="{00000000-0005-0000-0000-000018720000}"/>
    <cellStyle name="Normal 38" xfId="29209" xr:uid="{00000000-0005-0000-0000-000019720000}"/>
    <cellStyle name="Normal 38 2" xfId="29210" xr:uid="{00000000-0005-0000-0000-00001A720000}"/>
    <cellStyle name="Normal 38 2 2" xfId="29211" xr:uid="{00000000-0005-0000-0000-00001B720000}"/>
    <cellStyle name="Normal 38 2 2 2" xfId="29212" xr:uid="{00000000-0005-0000-0000-00001C720000}"/>
    <cellStyle name="Normal 38 2 2 2 2" xfId="29213" xr:uid="{00000000-0005-0000-0000-00001D720000}"/>
    <cellStyle name="Normal 38 2 2 3" xfId="29214" xr:uid="{00000000-0005-0000-0000-00001E720000}"/>
    <cellStyle name="Normal 38 2 2 3 2" xfId="29215" xr:uid="{00000000-0005-0000-0000-00001F720000}"/>
    <cellStyle name="Normal 38 2 2 3 2 2" xfId="29216" xr:uid="{00000000-0005-0000-0000-000020720000}"/>
    <cellStyle name="Normal 38 2 2 3 3" xfId="29217" xr:uid="{00000000-0005-0000-0000-000021720000}"/>
    <cellStyle name="Normal 38 2 2 4" xfId="29218" xr:uid="{00000000-0005-0000-0000-000022720000}"/>
    <cellStyle name="Normal 38 2 2 4 2" xfId="29219" xr:uid="{00000000-0005-0000-0000-000023720000}"/>
    <cellStyle name="Normal 38 2 2 4 2 2" xfId="29220" xr:uid="{00000000-0005-0000-0000-000024720000}"/>
    <cellStyle name="Normal 38 2 2 4 3" xfId="29221" xr:uid="{00000000-0005-0000-0000-000025720000}"/>
    <cellStyle name="Normal 38 2 2 5" xfId="29222" xr:uid="{00000000-0005-0000-0000-000026720000}"/>
    <cellStyle name="Normal 38 2 3" xfId="29223" xr:uid="{00000000-0005-0000-0000-000027720000}"/>
    <cellStyle name="Normal 38 2 3 2" xfId="29224" xr:uid="{00000000-0005-0000-0000-000028720000}"/>
    <cellStyle name="Normal 38 2 3 2 2" xfId="29225" xr:uid="{00000000-0005-0000-0000-000029720000}"/>
    <cellStyle name="Normal 38 2 3 3" xfId="29226" xr:uid="{00000000-0005-0000-0000-00002A720000}"/>
    <cellStyle name="Normal 38 2 4" xfId="29227" xr:uid="{00000000-0005-0000-0000-00002B720000}"/>
    <cellStyle name="Normal 38 2 4 2" xfId="29228" xr:uid="{00000000-0005-0000-0000-00002C720000}"/>
    <cellStyle name="Normal 38 2 4 2 2" xfId="29229" xr:uid="{00000000-0005-0000-0000-00002D720000}"/>
    <cellStyle name="Normal 38 2 4 3" xfId="29230" xr:uid="{00000000-0005-0000-0000-00002E720000}"/>
    <cellStyle name="Normal 38 2 5" xfId="29231" xr:uid="{00000000-0005-0000-0000-00002F720000}"/>
    <cellStyle name="Normal 38 2 5 2" xfId="29232" xr:uid="{00000000-0005-0000-0000-000030720000}"/>
    <cellStyle name="Normal 38 2 5 2 2" xfId="29233" xr:uid="{00000000-0005-0000-0000-000031720000}"/>
    <cellStyle name="Normal 38 2 5 3" xfId="29234" xr:uid="{00000000-0005-0000-0000-000032720000}"/>
    <cellStyle name="Normal 38 2 6" xfId="29235" xr:uid="{00000000-0005-0000-0000-000033720000}"/>
    <cellStyle name="Normal 38 3" xfId="29236" xr:uid="{00000000-0005-0000-0000-000034720000}"/>
    <cellStyle name="Normal 38 3 2" xfId="29237" xr:uid="{00000000-0005-0000-0000-000035720000}"/>
    <cellStyle name="Normal 38 3 2 2" xfId="29238" xr:uid="{00000000-0005-0000-0000-000036720000}"/>
    <cellStyle name="Normal 38 3 3" xfId="29239" xr:uid="{00000000-0005-0000-0000-000037720000}"/>
    <cellStyle name="Normal 38 3 3 2" xfId="29240" xr:uid="{00000000-0005-0000-0000-000038720000}"/>
    <cellStyle name="Normal 38 3 3 2 2" xfId="29241" xr:uid="{00000000-0005-0000-0000-000039720000}"/>
    <cellStyle name="Normal 38 3 3 3" xfId="29242" xr:uid="{00000000-0005-0000-0000-00003A720000}"/>
    <cellStyle name="Normal 38 3 4" xfId="29243" xr:uid="{00000000-0005-0000-0000-00003B720000}"/>
    <cellStyle name="Normal 38 3 4 2" xfId="29244" xr:uid="{00000000-0005-0000-0000-00003C720000}"/>
    <cellStyle name="Normal 38 3 4 2 2" xfId="29245" xr:uid="{00000000-0005-0000-0000-00003D720000}"/>
    <cellStyle name="Normal 38 3 4 3" xfId="29246" xr:uid="{00000000-0005-0000-0000-00003E720000}"/>
    <cellStyle name="Normal 38 3 5" xfId="29247" xr:uid="{00000000-0005-0000-0000-00003F720000}"/>
    <cellStyle name="Normal 38 4" xfId="29248" xr:uid="{00000000-0005-0000-0000-000040720000}"/>
    <cellStyle name="Normal 38 4 2" xfId="29249" xr:uid="{00000000-0005-0000-0000-000041720000}"/>
    <cellStyle name="Normal 38 4 2 2" xfId="29250" xr:uid="{00000000-0005-0000-0000-000042720000}"/>
    <cellStyle name="Normal 38 4 3" xfId="29251" xr:uid="{00000000-0005-0000-0000-000043720000}"/>
    <cellStyle name="Normal 38 5" xfId="29252" xr:uid="{00000000-0005-0000-0000-000044720000}"/>
    <cellStyle name="Normal 38 5 2" xfId="29253" xr:uid="{00000000-0005-0000-0000-000045720000}"/>
    <cellStyle name="Normal 38 5 2 2" xfId="29254" xr:uid="{00000000-0005-0000-0000-000046720000}"/>
    <cellStyle name="Normal 38 5 3" xfId="29255" xr:uid="{00000000-0005-0000-0000-000047720000}"/>
    <cellStyle name="Normal 38 6" xfId="29256" xr:uid="{00000000-0005-0000-0000-000048720000}"/>
    <cellStyle name="Normal 38 6 2" xfId="29257" xr:uid="{00000000-0005-0000-0000-000049720000}"/>
    <cellStyle name="Normal 38 6 2 2" xfId="29258" xr:uid="{00000000-0005-0000-0000-00004A720000}"/>
    <cellStyle name="Normal 38 6 3" xfId="29259" xr:uid="{00000000-0005-0000-0000-00004B720000}"/>
    <cellStyle name="Normal 38 7" xfId="29260" xr:uid="{00000000-0005-0000-0000-00004C720000}"/>
    <cellStyle name="Normal 380" xfId="29261" xr:uid="{00000000-0005-0000-0000-00004D720000}"/>
    <cellStyle name="Normal 380 2" xfId="29262" xr:uid="{00000000-0005-0000-0000-00004E720000}"/>
    <cellStyle name="Normal 380 2 2" xfId="29263" xr:uid="{00000000-0005-0000-0000-00004F720000}"/>
    <cellStyle name="Normal 380 2 2 2" xfId="29264" xr:uid="{00000000-0005-0000-0000-000050720000}"/>
    <cellStyle name="Normal 380 2 3" xfId="29265" xr:uid="{00000000-0005-0000-0000-000051720000}"/>
    <cellStyle name="Normal 380 2 3 2" xfId="29266" xr:uid="{00000000-0005-0000-0000-000052720000}"/>
    <cellStyle name="Normal 380 2 3 2 2" xfId="29267" xr:uid="{00000000-0005-0000-0000-000053720000}"/>
    <cellStyle name="Normal 380 2 3 3" xfId="29268" xr:uid="{00000000-0005-0000-0000-000054720000}"/>
    <cellStyle name="Normal 380 2 4" xfId="29269" xr:uid="{00000000-0005-0000-0000-000055720000}"/>
    <cellStyle name="Normal 380 2 4 2" xfId="29270" xr:uid="{00000000-0005-0000-0000-000056720000}"/>
    <cellStyle name="Normal 380 2 4 2 2" xfId="29271" xr:uid="{00000000-0005-0000-0000-000057720000}"/>
    <cellStyle name="Normal 380 2 4 3" xfId="29272" xr:uid="{00000000-0005-0000-0000-000058720000}"/>
    <cellStyle name="Normal 380 2 5" xfId="29273" xr:uid="{00000000-0005-0000-0000-000059720000}"/>
    <cellStyle name="Normal 380 3" xfId="29274" xr:uid="{00000000-0005-0000-0000-00005A720000}"/>
    <cellStyle name="Normal 380 3 2" xfId="29275" xr:uid="{00000000-0005-0000-0000-00005B720000}"/>
    <cellStyle name="Normal 380 3 2 2" xfId="29276" xr:uid="{00000000-0005-0000-0000-00005C720000}"/>
    <cellStyle name="Normal 380 3 2 2 2" xfId="29277" xr:uid="{00000000-0005-0000-0000-00005D720000}"/>
    <cellStyle name="Normal 380 3 2 3" xfId="29278" xr:uid="{00000000-0005-0000-0000-00005E720000}"/>
    <cellStyle name="Normal 380 3 2 3 2" xfId="29279" xr:uid="{00000000-0005-0000-0000-00005F720000}"/>
    <cellStyle name="Normal 380 3 2 3 2 2" xfId="29280" xr:uid="{00000000-0005-0000-0000-000060720000}"/>
    <cellStyle name="Normal 380 3 2 3 3" xfId="29281" xr:uid="{00000000-0005-0000-0000-000061720000}"/>
    <cellStyle name="Normal 380 3 2 4" xfId="29282" xr:uid="{00000000-0005-0000-0000-000062720000}"/>
    <cellStyle name="Normal 380 3 3" xfId="29283" xr:uid="{00000000-0005-0000-0000-000063720000}"/>
    <cellStyle name="Normal 380 3 3 2" xfId="29284" xr:uid="{00000000-0005-0000-0000-000064720000}"/>
    <cellStyle name="Normal 380 3 3 2 2" xfId="29285" xr:uid="{00000000-0005-0000-0000-000065720000}"/>
    <cellStyle name="Normal 380 3 3 3" xfId="29286" xr:uid="{00000000-0005-0000-0000-000066720000}"/>
    <cellStyle name="Normal 380 3 4" xfId="29287" xr:uid="{00000000-0005-0000-0000-000067720000}"/>
    <cellStyle name="Normal 380 3 4 2" xfId="29288" xr:uid="{00000000-0005-0000-0000-000068720000}"/>
    <cellStyle name="Normal 380 3 4 2 2" xfId="29289" xr:uid="{00000000-0005-0000-0000-000069720000}"/>
    <cellStyle name="Normal 380 3 4 3" xfId="29290" xr:uid="{00000000-0005-0000-0000-00006A720000}"/>
    <cellStyle name="Normal 380 3 5" xfId="29291" xr:uid="{00000000-0005-0000-0000-00006B720000}"/>
    <cellStyle name="Normal 380 3 5 2" xfId="29292" xr:uid="{00000000-0005-0000-0000-00006C720000}"/>
    <cellStyle name="Normal 380 3 5 2 2" xfId="29293" xr:uid="{00000000-0005-0000-0000-00006D720000}"/>
    <cellStyle name="Normal 380 3 5 3" xfId="29294" xr:uid="{00000000-0005-0000-0000-00006E720000}"/>
    <cellStyle name="Normal 380 3 6" xfId="29295" xr:uid="{00000000-0005-0000-0000-00006F720000}"/>
    <cellStyle name="Normal 380 4" xfId="29296" xr:uid="{00000000-0005-0000-0000-000070720000}"/>
    <cellStyle name="Normal 380 4 2" xfId="29297" xr:uid="{00000000-0005-0000-0000-000071720000}"/>
    <cellStyle name="Normal 380 4 2 2" xfId="29298" xr:uid="{00000000-0005-0000-0000-000072720000}"/>
    <cellStyle name="Normal 380 4 3" xfId="29299" xr:uid="{00000000-0005-0000-0000-000073720000}"/>
    <cellStyle name="Normal 380 5" xfId="29300" xr:uid="{00000000-0005-0000-0000-000074720000}"/>
    <cellStyle name="Normal 380 5 2" xfId="29301" xr:uid="{00000000-0005-0000-0000-000075720000}"/>
    <cellStyle name="Normal 380 5 2 2" xfId="29302" xr:uid="{00000000-0005-0000-0000-000076720000}"/>
    <cellStyle name="Normal 380 5 3" xfId="29303" xr:uid="{00000000-0005-0000-0000-000077720000}"/>
    <cellStyle name="Normal 380 6" xfId="29304" xr:uid="{00000000-0005-0000-0000-000078720000}"/>
    <cellStyle name="Normal 380 6 2" xfId="29305" xr:uid="{00000000-0005-0000-0000-000079720000}"/>
    <cellStyle name="Normal 380 6 2 2" xfId="29306" xr:uid="{00000000-0005-0000-0000-00007A720000}"/>
    <cellStyle name="Normal 380 6 3" xfId="29307" xr:uid="{00000000-0005-0000-0000-00007B720000}"/>
    <cellStyle name="Normal 380 7" xfId="29308" xr:uid="{00000000-0005-0000-0000-00007C720000}"/>
    <cellStyle name="Normal 381" xfId="29309" xr:uid="{00000000-0005-0000-0000-00007D720000}"/>
    <cellStyle name="Normal 381 2" xfId="29310" xr:uid="{00000000-0005-0000-0000-00007E720000}"/>
    <cellStyle name="Normal 381 2 2" xfId="29311" xr:uid="{00000000-0005-0000-0000-00007F720000}"/>
    <cellStyle name="Normal 381 2 2 2" xfId="29312" xr:uid="{00000000-0005-0000-0000-000080720000}"/>
    <cellStyle name="Normal 381 2 3" xfId="29313" xr:uid="{00000000-0005-0000-0000-000081720000}"/>
    <cellStyle name="Normal 381 2 3 2" xfId="29314" xr:uid="{00000000-0005-0000-0000-000082720000}"/>
    <cellStyle name="Normal 381 2 3 2 2" xfId="29315" xr:uid="{00000000-0005-0000-0000-000083720000}"/>
    <cellStyle name="Normal 381 2 3 3" xfId="29316" xr:uid="{00000000-0005-0000-0000-000084720000}"/>
    <cellStyle name="Normal 381 2 4" xfId="29317" xr:uid="{00000000-0005-0000-0000-000085720000}"/>
    <cellStyle name="Normal 381 2 4 2" xfId="29318" xr:uid="{00000000-0005-0000-0000-000086720000}"/>
    <cellStyle name="Normal 381 2 4 2 2" xfId="29319" xr:uid="{00000000-0005-0000-0000-000087720000}"/>
    <cellStyle name="Normal 381 2 4 3" xfId="29320" xr:uid="{00000000-0005-0000-0000-000088720000}"/>
    <cellStyle name="Normal 381 2 5" xfId="29321" xr:uid="{00000000-0005-0000-0000-000089720000}"/>
    <cellStyle name="Normal 381 3" xfId="29322" xr:uid="{00000000-0005-0000-0000-00008A720000}"/>
    <cellStyle name="Normal 381 3 2" xfId="29323" xr:uid="{00000000-0005-0000-0000-00008B720000}"/>
    <cellStyle name="Normal 381 3 2 2" xfId="29324" xr:uid="{00000000-0005-0000-0000-00008C720000}"/>
    <cellStyle name="Normal 381 3 2 2 2" xfId="29325" xr:uid="{00000000-0005-0000-0000-00008D720000}"/>
    <cellStyle name="Normal 381 3 2 3" xfId="29326" xr:uid="{00000000-0005-0000-0000-00008E720000}"/>
    <cellStyle name="Normal 381 3 2 3 2" xfId="29327" xr:uid="{00000000-0005-0000-0000-00008F720000}"/>
    <cellStyle name="Normal 381 3 2 3 2 2" xfId="29328" xr:uid="{00000000-0005-0000-0000-000090720000}"/>
    <cellStyle name="Normal 381 3 2 3 3" xfId="29329" xr:uid="{00000000-0005-0000-0000-000091720000}"/>
    <cellStyle name="Normal 381 3 2 4" xfId="29330" xr:uid="{00000000-0005-0000-0000-000092720000}"/>
    <cellStyle name="Normal 381 3 3" xfId="29331" xr:uid="{00000000-0005-0000-0000-000093720000}"/>
    <cellStyle name="Normal 381 3 3 2" xfId="29332" xr:uid="{00000000-0005-0000-0000-000094720000}"/>
    <cellStyle name="Normal 381 3 3 2 2" xfId="29333" xr:uid="{00000000-0005-0000-0000-000095720000}"/>
    <cellStyle name="Normal 381 3 3 3" xfId="29334" xr:uid="{00000000-0005-0000-0000-000096720000}"/>
    <cellStyle name="Normal 381 3 4" xfId="29335" xr:uid="{00000000-0005-0000-0000-000097720000}"/>
    <cellStyle name="Normal 381 3 4 2" xfId="29336" xr:uid="{00000000-0005-0000-0000-000098720000}"/>
    <cellStyle name="Normal 381 3 4 2 2" xfId="29337" xr:uid="{00000000-0005-0000-0000-000099720000}"/>
    <cellStyle name="Normal 381 3 4 3" xfId="29338" xr:uid="{00000000-0005-0000-0000-00009A720000}"/>
    <cellStyle name="Normal 381 3 5" xfId="29339" xr:uid="{00000000-0005-0000-0000-00009B720000}"/>
    <cellStyle name="Normal 381 3 5 2" xfId="29340" xr:uid="{00000000-0005-0000-0000-00009C720000}"/>
    <cellStyle name="Normal 381 3 5 2 2" xfId="29341" xr:uid="{00000000-0005-0000-0000-00009D720000}"/>
    <cellStyle name="Normal 381 3 5 3" xfId="29342" xr:uid="{00000000-0005-0000-0000-00009E720000}"/>
    <cellStyle name="Normal 381 3 6" xfId="29343" xr:uid="{00000000-0005-0000-0000-00009F720000}"/>
    <cellStyle name="Normal 381 4" xfId="29344" xr:uid="{00000000-0005-0000-0000-0000A0720000}"/>
    <cellStyle name="Normal 381 4 2" xfId="29345" xr:uid="{00000000-0005-0000-0000-0000A1720000}"/>
    <cellStyle name="Normal 381 4 2 2" xfId="29346" xr:uid="{00000000-0005-0000-0000-0000A2720000}"/>
    <cellStyle name="Normal 381 4 3" xfId="29347" xr:uid="{00000000-0005-0000-0000-0000A3720000}"/>
    <cellStyle name="Normal 381 5" xfId="29348" xr:uid="{00000000-0005-0000-0000-0000A4720000}"/>
    <cellStyle name="Normal 381 5 2" xfId="29349" xr:uid="{00000000-0005-0000-0000-0000A5720000}"/>
    <cellStyle name="Normal 381 5 2 2" xfId="29350" xr:uid="{00000000-0005-0000-0000-0000A6720000}"/>
    <cellStyle name="Normal 381 5 3" xfId="29351" xr:uid="{00000000-0005-0000-0000-0000A7720000}"/>
    <cellStyle name="Normal 381 6" xfId="29352" xr:uid="{00000000-0005-0000-0000-0000A8720000}"/>
    <cellStyle name="Normal 381 6 2" xfId="29353" xr:uid="{00000000-0005-0000-0000-0000A9720000}"/>
    <cellStyle name="Normal 381 6 2 2" xfId="29354" xr:uid="{00000000-0005-0000-0000-0000AA720000}"/>
    <cellStyle name="Normal 381 6 3" xfId="29355" xr:uid="{00000000-0005-0000-0000-0000AB720000}"/>
    <cellStyle name="Normal 381 7" xfId="29356" xr:uid="{00000000-0005-0000-0000-0000AC720000}"/>
    <cellStyle name="Normal 382" xfId="29357" xr:uid="{00000000-0005-0000-0000-0000AD720000}"/>
    <cellStyle name="Normal 382 2" xfId="29358" xr:uid="{00000000-0005-0000-0000-0000AE720000}"/>
    <cellStyle name="Normal 382 2 2" xfId="29359" xr:uid="{00000000-0005-0000-0000-0000AF720000}"/>
    <cellStyle name="Normal 382 2 2 2" xfId="29360" xr:uid="{00000000-0005-0000-0000-0000B0720000}"/>
    <cellStyle name="Normal 382 2 3" xfId="29361" xr:uid="{00000000-0005-0000-0000-0000B1720000}"/>
    <cellStyle name="Normal 382 2 3 2" xfId="29362" xr:uid="{00000000-0005-0000-0000-0000B2720000}"/>
    <cellStyle name="Normal 382 2 3 2 2" xfId="29363" xr:uid="{00000000-0005-0000-0000-0000B3720000}"/>
    <cellStyle name="Normal 382 2 3 3" xfId="29364" xr:uid="{00000000-0005-0000-0000-0000B4720000}"/>
    <cellStyle name="Normal 382 2 4" xfId="29365" xr:uid="{00000000-0005-0000-0000-0000B5720000}"/>
    <cellStyle name="Normal 382 2 4 2" xfId="29366" xr:uid="{00000000-0005-0000-0000-0000B6720000}"/>
    <cellStyle name="Normal 382 2 4 2 2" xfId="29367" xr:uid="{00000000-0005-0000-0000-0000B7720000}"/>
    <cellStyle name="Normal 382 2 4 3" xfId="29368" xr:uid="{00000000-0005-0000-0000-0000B8720000}"/>
    <cellStyle name="Normal 382 2 5" xfId="29369" xr:uid="{00000000-0005-0000-0000-0000B9720000}"/>
    <cellStyle name="Normal 382 3" xfId="29370" xr:uid="{00000000-0005-0000-0000-0000BA720000}"/>
    <cellStyle name="Normal 382 3 2" xfId="29371" xr:uid="{00000000-0005-0000-0000-0000BB720000}"/>
    <cellStyle name="Normal 382 3 2 2" xfId="29372" xr:uid="{00000000-0005-0000-0000-0000BC720000}"/>
    <cellStyle name="Normal 382 3 2 2 2" xfId="29373" xr:uid="{00000000-0005-0000-0000-0000BD720000}"/>
    <cellStyle name="Normal 382 3 2 3" xfId="29374" xr:uid="{00000000-0005-0000-0000-0000BE720000}"/>
    <cellStyle name="Normal 382 3 2 3 2" xfId="29375" xr:uid="{00000000-0005-0000-0000-0000BF720000}"/>
    <cellStyle name="Normal 382 3 2 3 2 2" xfId="29376" xr:uid="{00000000-0005-0000-0000-0000C0720000}"/>
    <cellStyle name="Normal 382 3 2 3 3" xfId="29377" xr:uid="{00000000-0005-0000-0000-0000C1720000}"/>
    <cellStyle name="Normal 382 3 2 4" xfId="29378" xr:uid="{00000000-0005-0000-0000-0000C2720000}"/>
    <cellStyle name="Normal 382 3 3" xfId="29379" xr:uid="{00000000-0005-0000-0000-0000C3720000}"/>
    <cellStyle name="Normal 382 3 3 2" xfId="29380" xr:uid="{00000000-0005-0000-0000-0000C4720000}"/>
    <cellStyle name="Normal 382 3 3 2 2" xfId="29381" xr:uid="{00000000-0005-0000-0000-0000C5720000}"/>
    <cellStyle name="Normal 382 3 3 3" xfId="29382" xr:uid="{00000000-0005-0000-0000-0000C6720000}"/>
    <cellStyle name="Normal 382 3 4" xfId="29383" xr:uid="{00000000-0005-0000-0000-0000C7720000}"/>
    <cellStyle name="Normal 382 3 4 2" xfId="29384" xr:uid="{00000000-0005-0000-0000-0000C8720000}"/>
    <cellStyle name="Normal 382 3 4 2 2" xfId="29385" xr:uid="{00000000-0005-0000-0000-0000C9720000}"/>
    <cellStyle name="Normal 382 3 4 3" xfId="29386" xr:uid="{00000000-0005-0000-0000-0000CA720000}"/>
    <cellStyle name="Normal 382 3 5" xfId="29387" xr:uid="{00000000-0005-0000-0000-0000CB720000}"/>
    <cellStyle name="Normal 382 3 5 2" xfId="29388" xr:uid="{00000000-0005-0000-0000-0000CC720000}"/>
    <cellStyle name="Normal 382 3 5 2 2" xfId="29389" xr:uid="{00000000-0005-0000-0000-0000CD720000}"/>
    <cellStyle name="Normal 382 3 5 3" xfId="29390" xr:uid="{00000000-0005-0000-0000-0000CE720000}"/>
    <cellStyle name="Normal 382 3 6" xfId="29391" xr:uid="{00000000-0005-0000-0000-0000CF720000}"/>
    <cellStyle name="Normal 382 4" xfId="29392" xr:uid="{00000000-0005-0000-0000-0000D0720000}"/>
    <cellStyle name="Normal 382 4 2" xfId="29393" xr:uid="{00000000-0005-0000-0000-0000D1720000}"/>
    <cellStyle name="Normal 382 4 2 2" xfId="29394" xr:uid="{00000000-0005-0000-0000-0000D2720000}"/>
    <cellStyle name="Normal 382 4 3" xfId="29395" xr:uid="{00000000-0005-0000-0000-0000D3720000}"/>
    <cellStyle name="Normal 382 5" xfId="29396" xr:uid="{00000000-0005-0000-0000-0000D4720000}"/>
    <cellStyle name="Normal 382 5 2" xfId="29397" xr:uid="{00000000-0005-0000-0000-0000D5720000}"/>
    <cellStyle name="Normal 382 5 2 2" xfId="29398" xr:uid="{00000000-0005-0000-0000-0000D6720000}"/>
    <cellStyle name="Normal 382 5 3" xfId="29399" xr:uid="{00000000-0005-0000-0000-0000D7720000}"/>
    <cellStyle name="Normal 382 6" xfId="29400" xr:uid="{00000000-0005-0000-0000-0000D8720000}"/>
    <cellStyle name="Normal 382 6 2" xfId="29401" xr:uid="{00000000-0005-0000-0000-0000D9720000}"/>
    <cellStyle name="Normal 382 6 2 2" xfId="29402" xr:uid="{00000000-0005-0000-0000-0000DA720000}"/>
    <cellStyle name="Normal 382 6 3" xfId="29403" xr:uid="{00000000-0005-0000-0000-0000DB720000}"/>
    <cellStyle name="Normal 382 7" xfId="29404" xr:uid="{00000000-0005-0000-0000-0000DC720000}"/>
    <cellStyle name="Normal 383" xfId="29405" xr:uid="{00000000-0005-0000-0000-0000DD720000}"/>
    <cellStyle name="Normal 383 2" xfId="29406" xr:uid="{00000000-0005-0000-0000-0000DE720000}"/>
    <cellStyle name="Normal 383 2 2" xfId="29407" xr:uid="{00000000-0005-0000-0000-0000DF720000}"/>
    <cellStyle name="Normal 383 2 2 2" xfId="29408" xr:uid="{00000000-0005-0000-0000-0000E0720000}"/>
    <cellStyle name="Normal 383 2 3" xfId="29409" xr:uid="{00000000-0005-0000-0000-0000E1720000}"/>
    <cellStyle name="Normal 383 2 3 2" xfId="29410" xr:uid="{00000000-0005-0000-0000-0000E2720000}"/>
    <cellStyle name="Normal 383 2 3 2 2" xfId="29411" xr:uid="{00000000-0005-0000-0000-0000E3720000}"/>
    <cellStyle name="Normal 383 2 3 3" xfId="29412" xr:uid="{00000000-0005-0000-0000-0000E4720000}"/>
    <cellStyle name="Normal 383 2 4" xfId="29413" xr:uid="{00000000-0005-0000-0000-0000E5720000}"/>
    <cellStyle name="Normal 383 2 4 2" xfId="29414" xr:uid="{00000000-0005-0000-0000-0000E6720000}"/>
    <cellStyle name="Normal 383 2 4 2 2" xfId="29415" xr:uid="{00000000-0005-0000-0000-0000E7720000}"/>
    <cellStyle name="Normal 383 2 4 3" xfId="29416" xr:uid="{00000000-0005-0000-0000-0000E8720000}"/>
    <cellStyle name="Normal 383 2 5" xfId="29417" xr:uid="{00000000-0005-0000-0000-0000E9720000}"/>
    <cellStyle name="Normal 383 3" xfId="29418" xr:uid="{00000000-0005-0000-0000-0000EA720000}"/>
    <cellStyle name="Normal 383 3 2" xfId="29419" xr:uid="{00000000-0005-0000-0000-0000EB720000}"/>
    <cellStyle name="Normal 383 3 2 2" xfId="29420" xr:uid="{00000000-0005-0000-0000-0000EC720000}"/>
    <cellStyle name="Normal 383 3 2 2 2" xfId="29421" xr:uid="{00000000-0005-0000-0000-0000ED720000}"/>
    <cellStyle name="Normal 383 3 2 3" xfId="29422" xr:uid="{00000000-0005-0000-0000-0000EE720000}"/>
    <cellStyle name="Normal 383 3 2 3 2" xfId="29423" xr:uid="{00000000-0005-0000-0000-0000EF720000}"/>
    <cellStyle name="Normal 383 3 2 3 2 2" xfId="29424" xr:uid="{00000000-0005-0000-0000-0000F0720000}"/>
    <cellStyle name="Normal 383 3 2 3 3" xfId="29425" xr:uid="{00000000-0005-0000-0000-0000F1720000}"/>
    <cellStyle name="Normal 383 3 2 4" xfId="29426" xr:uid="{00000000-0005-0000-0000-0000F2720000}"/>
    <cellStyle name="Normal 383 3 3" xfId="29427" xr:uid="{00000000-0005-0000-0000-0000F3720000}"/>
    <cellStyle name="Normal 383 3 3 2" xfId="29428" xr:uid="{00000000-0005-0000-0000-0000F4720000}"/>
    <cellStyle name="Normal 383 3 3 2 2" xfId="29429" xr:uid="{00000000-0005-0000-0000-0000F5720000}"/>
    <cellStyle name="Normal 383 3 3 3" xfId="29430" xr:uid="{00000000-0005-0000-0000-0000F6720000}"/>
    <cellStyle name="Normal 383 3 4" xfId="29431" xr:uid="{00000000-0005-0000-0000-0000F7720000}"/>
    <cellStyle name="Normal 383 3 4 2" xfId="29432" xr:uid="{00000000-0005-0000-0000-0000F8720000}"/>
    <cellStyle name="Normal 383 3 4 2 2" xfId="29433" xr:uid="{00000000-0005-0000-0000-0000F9720000}"/>
    <cellStyle name="Normal 383 3 4 3" xfId="29434" xr:uid="{00000000-0005-0000-0000-0000FA720000}"/>
    <cellStyle name="Normal 383 3 5" xfId="29435" xr:uid="{00000000-0005-0000-0000-0000FB720000}"/>
    <cellStyle name="Normal 383 3 5 2" xfId="29436" xr:uid="{00000000-0005-0000-0000-0000FC720000}"/>
    <cellStyle name="Normal 383 3 5 2 2" xfId="29437" xr:uid="{00000000-0005-0000-0000-0000FD720000}"/>
    <cellStyle name="Normal 383 3 5 3" xfId="29438" xr:uid="{00000000-0005-0000-0000-0000FE720000}"/>
    <cellStyle name="Normal 383 3 6" xfId="29439" xr:uid="{00000000-0005-0000-0000-0000FF720000}"/>
    <cellStyle name="Normal 383 4" xfId="29440" xr:uid="{00000000-0005-0000-0000-000000730000}"/>
    <cellStyle name="Normal 383 4 2" xfId="29441" xr:uid="{00000000-0005-0000-0000-000001730000}"/>
    <cellStyle name="Normal 383 4 2 2" xfId="29442" xr:uid="{00000000-0005-0000-0000-000002730000}"/>
    <cellStyle name="Normal 383 4 3" xfId="29443" xr:uid="{00000000-0005-0000-0000-000003730000}"/>
    <cellStyle name="Normal 383 5" xfId="29444" xr:uid="{00000000-0005-0000-0000-000004730000}"/>
    <cellStyle name="Normal 383 5 2" xfId="29445" xr:uid="{00000000-0005-0000-0000-000005730000}"/>
    <cellStyle name="Normal 383 5 2 2" xfId="29446" xr:uid="{00000000-0005-0000-0000-000006730000}"/>
    <cellStyle name="Normal 383 5 3" xfId="29447" xr:uid="{00000000-0005-0000-0000-000007730000}"/>
    <cellStyle name="Normal 383 6" xfId="29448" xr:uid="{00000000-0005-0000-0000-000008730000}"/>
    <cellStyle name="Normal 383 6 2" xfId="29449" xr:uid="{00000000-0005-0000-0000-000009730000}"/>
    <cellStyle name="Normal 383 6 2 2" xfId="29450" xr:uid="{00000000-0005-0000-0000-00000A730000}"/>
    <cellStyle name="Normal 383 6 3" xfId="29451" xr:uid="{00000000-0005-0000-0000-00000B730000}"/>
    <cellStyle name="Normal 383 7" xfId="29452" xr:uid="{00000000-0005-0000-0000-00000C730000}"/>
    <cellStyle name="Normal 384" xfId="29453" xr:uid="{00000000-0005-0000-0000-00000D730000}"/>
    <cellStyle name="Normal 384 2" xfId="29454" xr:uid="{00000000-0005-0000-0000-00000E730000}"/>
    <cellStyle name="Normal 384 2 2" xfId="29455" xr:uid="{00000000-0005-0000-0000-00000F730000}"/>
    <cellStyle name="Normal 384 2 2 2" xfId="29456" xr:uid="{00000000-0005-0000-0000-000010730000}"/>
    <cellStyle name="Normal 384 2 3" xfId="29457" xr:uid="{00000000-0005-0000-0000-000011730000}"/>
    <cellStyle name="Normal 384 2 3 2" xfId="29458" xr:uid="{00000000-0005-0000-0000-000012730000}"/>
    <cellStyle name="Normal 384 2 3 2 2" xfId="29459" xr:uid="{00000000-0005-0000-0000-000013730000}"/>
    <cellStyle name="Normal 384 2 3 3" xfId="29460" xr:uid="{00000000-0005-0000-0000-000014730000}"/>
    <cellStyle name="Normal 384 2 4" xfId="29461" xr:uid="{00000000-0005-0000-0000-000015730000}"/>
    <cellStyle name="Normal 384 2 4 2" xfId="29462" xr:uid="{00000000-0005-0000-0000-000016730000}"/>
    <cellStyle name="Normal 384 2 4 2 2" xfId="29463" xr:uid="{00000000-0005-0000-0000-000017730000}"/>
    <cellStyle name="Normal 384 2 4 3" xfId="29464" xr:uid="{00000000-0005-0000-0000-000018730000}"/>
    <cellStyle name="Normal 384 2 5" xfId="29465" xr:uid="{00000000-0005-0000-0000-000019730000}"/>
    <cellStyle name="Normal 384 3" xfId="29466" xr:uid="{00000000-0005-0000-0000-00001A730000}"/>
    <cellStyle name="Normal 384 3 2" xfId="29467" xr:uid="{00000000-0005-0000-0000-00001B730000}"/>
    <cellStyle name="Normal 384 3 2 2" xfId="29468" xr:uid="{00000000-0005-0000-0000-00001C730000}"/>
    <cellStyle name="Normal 384 3 2 2 2" xfId="29469" xr:uid="{00000000-0005-0000-0000-00001D730000}"/>
    <cellStyle name="Normal 384 3 2 3" xfId="29470" xr:uid="{00000000-0005-0000-0000-00001E730000}"/>
    <cellStyle name="Normal 384 3 2 3 2" xfId="29471" xr:uid="{00000000-0005-0000-0000-00001F730000}"/>
    <cellStyle name="Normal 384 3 2 3 2 2" xfId="29472" xr:uid="{00000000-0005-0000-0000-000020730000}"/>
    <cellStyle name="Normal 384 3 2 3 3" xfId="29473" xr:uid="{00000000-0005-0000-0000-000021730000}"/>
    <cellStyle name="Normal 384 3 2 4" xfId="29474" xr:uid="{00000000-0005-0000-0000-000022730000}"/>
    <cellStyle name="Normal 384 3 3" xfId="29475" xr:uid="{00000000-0005-0000-0000-000023730000}"/>
    <cellStyle name="Normal 384 3 3 2" xfId="29476" xr:uid="{00000000-0005-0000-0000-000024730000}"/>
    <cellStyle name="Normal 384 3 3 2 2" xfId="29477" xr:uid="{00000000-0005-0000-0000-000025730000}"/>
    <cellStyle name="Normal 384 3 3 3" xfId="29478" xr:uid="{00000000-0005-0000-0000-000026730000}"/>
    <cellStyle name="Normal 384 3 4" xfId="29479" xr:uid="{00000000-0005-0000-0000-000027730000}"/>
    <cellStyle name="Normal 384 3 4 2" xfId="29480" xr:uid="{00000000-0005-0000-0000-000028730000}"/>
    <cellStyle name="Normal 384 3 4 2 2" xfId="29481" xr:uid="{00000000-0005-0000-0000-000029730000}"/>
    <cellStyle name="Normal 384 3 4 3" xfId="29482" xr:uid="{00000000-0005-0000-0000-00002A730000}"/>
    <cellStyle name="Normal 384 3 5" xfId="29483" xr:uid="{00000000-0005-0000-0000-00002B730000}"/>
    <cellStyle name="Normal 384 3 5 2" xfId="29484" xr:uid="{00000000-0005-0000-0000-00002C730000}"/>
    <cellStyle name="Normal 384 3 5 2 2" xfId="29485" xr:uid="{00000000-0005-0000-0000-00002D730000}"/>
    <cellStyle name="Normal 384 3 5 3" xfId="29486" xr:uid="{00000000-0005-0000-0000-00002E730000}"/>
    <cellStyle name="Normal 384 3 6" xfId="29487" xr:uid="{00000000-0005-0000-0000-00002F730000}"/>
    <cellStyle name="Normal 384 4" xfId="29488" xr:uid="{00000000-0005-0000-0000-000030730000}"/>
    <cellStyle name="Normal 384 4 2" xfId="29489" xr:uid="{00000000-0005-0000-0000-000031730000}"/>
    <cellStyle name="Normal 384 4 2 2" xfId="29490" xr:uid="{00000000-0005-0000-0000-000032730000}"/>
    <cellStyle name="Normal 384 4 3" xfId="29491" xr:uid="{00000000-0005-0000-0000-000033730000}"/>
    <cellStyle name="Normal 384 5" xfId="29492" xr:uid="{00000000-0005-0000-0000-000034730000}"/>
    <cellStyle name="Normal 384 5 2" xfId="29493" xr:uid="{00000000-0005-0000-0000-000035730000}"/>
    <cellStyle name="Normal 384 5 2 2" xfId="29494" xr:uid="{00000000-0005-0000-0000-000036730000}"/>
    <cellStyle name="Normal 384 5 3" xfId="29495" xr:uid="{00000000-0005-0000-0000-000037730000}"/>
    <cellStyle name="Normal 384 6" xfId="29496" xr:uid="{00000000-0005-0000-0000-000038730000}"/>
    <cellStyle name="Normal 384 6 2" xfId="29497" xr:uid="{00000000-0005-0000-0000-000039730000}"/>
    <cellStyle name="Normal 384 6 2 2" xfId="29498" xr:uid="{00000000-0005-0000-0000-00003A730000}"/>
    <cellStyle name="Normal 384 6 3" xfId="29499" xr:uid="{00000000-0005-0000-0000-00003B730000}"/>
    <cellStyle name="Normal 384 7" xfId="29500" xr:uid="{00000000-0005-0000-0000-00003C730000}"/>
    <cellStyle name="Normal 385" xfId="29501" xr:uid="{00000000-0005-0000-0000-00003D730000}"/>
    <cellStyle name="Normal 385 2" xfId="29502" xr:uid="{00000000-0005-0000-0000-00003E730000}"/>
    <cellStyle name="Normal 385 2 2" xfId="29503" xr:uid="{00000000-0005-0000-0000-00003F730000}"/>
    <cellStyle name="Normal 385 2 2 2" xfId="29504" xr:uid="{00000000-0005-0000-0000-000040730000}"/>
    <cellStyle name="Normal 385 2 3" xfId="29505" xr:uid="{00000000-0005-0000-0000-000041730000}"/>
    <cellStyle name="Normal 385 2 3 2" xfId="29506" xr:uid="{00000000-0005-0000-0000-000042730000}"/>
    <cellStyle name="Normal 385 2 3 2 2" xfId="29507" xr:uid="{00000000-0005-0000-0000-000043730000}"/>
    <cellStyle name="Normal 385 2 3 3" xfId="29508" xr:uid="{00000000-0005-0000-0000-000044730000}"/>
    <cellStyle name="Normal 385 2 4" xfId="29509" xr:uid="{00000000-0005-0000-0000-000045730000}"/>
    <cellStyle name="Normal 385 2 4 2" xfId="29510" xr:uid="{00000000-0005-0000-0000-000046730000}"/>
    <cellStyle name="Normal 385 2 4 2 2" xfId="29511" xr:uid="{00000000-0005-0000-0000-000047730000}"/>
    <cellStyle name="Normal 385 2 4 3" xfId="29512" xr:uid="{00000000-0005-0000-0000-000048730000}"/>
    <cellStyle name="Normal 385 2 5" xfId="29513" xr:uid="{00000000-0005-0000-0000-000049730000}"/>
    <cellStyle name="Normal 385 3" xfId="29514" xr:uid="{00000000-0005-0000-0000-00004A730000}"/>
    <cellStyle name="Normal 385 3 2" xfId="29515" xr:uid="{00000000-0005-0000-0000-00004B730000}"/>
    <cellStyle name="Normal 385 3 2 2" xfId="29516" xr:uid="{00000000-0005-0000-0000-00004C730000}"/>
    <cellStyle name="Normal 385 3 2 2 2" xfId="29517" xr:uid="{00000000-0005-0000-0000-00004D730000}"/>
    <cellStyle name="Normal 385 3 2 3" xfId="29518" xr:uid="{00000000-0005-0000-0000-00004E730000}"/>
    <cellStyle name="Normal 385 3 2 3 2" xfId="29519" xr:uid="{00000000-0005-0000-0000-00004F730000}"/>
    <cellStyle name="Normal 385 3 2 3 2 2" xfId="29520" xr:uid="{00000000-0005-0000-0000-000050730000}"/>
    <cellStyle name="Normal 385 3 2 3 3" xfId="29521" xr:uid="{00000000-0005-0000-0000-000051730000}"/>
    <cellStyle name="Normal 385 3 2 4" xfId="29522" xr:uid="{00000000-0005-0000-0000-000052730000}"/>
    <cellStyle name="Normal 385 3 3" xfId="29523" xr:uid="{00000000-0005-0000-0000-000053730000}"/>
    <cellStyle name="Normal 385 3 3 2" xfId="29524" xr:uid="{00000000-0005-0000-0000-000054730000}"/>
    <cellStyle name="Normal 385 3 3 2 2" xfId="29525" xr:uid="{00000000-0005-0000-0000-000055730000}"/>
    <cellStyle name="Normal 385 3 3 3" xfId="29526" xr:uid="{00000000-0005-0000-0000-000056730000}"/>
    <cellStyle name="Normal 385 3 4" xfId="29527" xr:uid="{00000000-0005-0000-0000-000057730000}"/>
    <cellStyle name="Normal 385 3 4 2" xfId="29528" xr:uid="{00000000-0005-0000-0000-000058730000}"/>
    <cellStyle name="Normal 385 3 4 2 2" xfId="29529" xr:uid="{00000000-0005-0000-0000-000059730000}"/>
    <cellStyle name="Normal 385 3 4 3" xfId="29530" xr:uid="{00000000-0005-0000-0000-00005A730000}"/>
    <cellStyle name="Normal 385 3 5" xfId="29531" xr:uid="{00000000-0005-0000-0000-00005B730000}"/>
    <cellStyle name="Normal 385 3 5 2" xfId="29532" xr:uid="{00000000-0005-0000-0000-00005C730000}"/>
    <cellStyle name="Normal 385 3 5 2 2" xfId="29533" xr:uid="{00000000-0005-0000-0000-00005D730000}"/>
    <cellStyle name="Normal 385 3 5 3" xfId="29534" xr:uid="{00000000-0005-0000-0000-00005E730000}"/>
    <cellStyle name="Normal 385 3 6" xfId="29535" xr:uid="{00000000-0005-0000-0000-00005F730000}"/>
    <cellStyle name="Normal 385 4" xfId="29536" xr:uid="{00000000-0005-0000-0000-000060730000}"/>
    <cellStyle name="Normal 385 4 2" xfId="29537" xr:uid="{00000000-0005-0000-0000-000061730000}"/>
    <cellStyle name="Normal 385 4 2 2" xfId="29538" xr:uid="{00000000-0005-0000-0000-000062730000}"/>
    <cellStyle name="Normal 385 4 3" xfId="29539" xr:uid="{00000000-0005-0000-0000-000063730000}"/>
    <cellStyle name="Normal 385 5" xfId="29540" xr:uid="{00000000-0005-0000-0000-000064730000}"/>
    <cellStyle name="Normal 385 5 2" xfId="29541" xr:uid="{00000000-0005-0000-0000-000065730000}"/>
    <cellStyle name="Normal 385 5 2 2" xfId="29542" xr:uid="{00000000-0005-0000-0000-000066730000}"/>
    <cellStyle name="Normal 385 5 3" xfId="29543" xr:uid="{00000000-0005-0000-0000-000067730000}"/>
    <cellStyle name="Normal 385 6" xfId="29544" xr:uid="{00000000-0005-0000-0000-000068730000}"/>
    <cellStyle name="Normal 385 6 2" xfId="29545" xr:uid="{00000000-0005-0000-0000-000069730000}"/>
    <cellStyle name="Normal 385 6 2 2" xfId="29546" xr:uid="{00000000-0005-0000-0000-00006A730000}"/>
    <cellStyle name="Normal 385 6 3" xfId="29547" xr:uid="{00000000-0005-0000-0000-00006B730000}"/>
    <cellStyle name="Normal 385 7" xfId="29548" xr:uid="{00000000-0005-0000-0000-00006C730000}"/>
    <cellStyle name="Normal 386" xfId="29549" xr:uid="{00000000-0005-0000-0000-00006D730000}"/>
    <cellStyle name="Normal 386 2" xfId="29550" xr:uid="{00000000-0005-0000-0000-00006E730000}"/>
    <cellStyle name="Normal 386 2 2" xfId="29551" xr:uid="{00000000-0005-0000-0000-00006F730000}"/>
    <cellStyle name="Normal 386 2 2 2" xfId="29552" xr:uid="{00000000-0005-0000-0000-000070730000}"/>
    <cellStyle name="Normal 386 2 3" xfId="29553" xr:uid="{00000000-0005-0000-0000-000071730000}"/>
    <cellStyle name="Normal 386 2 3 2" xfId="29554" xr:uid="{00000000-0005-0000-0000-000072730000}"/>
    <cellStyle name="Normal 386 2 3 2 2" xfId="29555" xr:uid="{00000000-0005-0000-0000-000073730000}"/>
    <cellStyle name="Normal 386 2 3 3" xfId="29556" xr:uid="{00000000-0005-0000-0000-000074730000}"/>
    <cellStyle name="Normal 386 2 4" xfId="29557" xr:uid="{00000000-0005-0000-0000-000075730000}"/>
    <cellStyle name="Normal 386 2 4 2" xfId="29558" xr:uid="{00000000-0005-0000-0000-000076730000}"/>
    <cellStyle name="Normal 386 2 4 2 2" xfId="29559" xr:uid="{00000000-0005-0000-0000-000077730000}"/>
    <cellStyle name="Normal 386 2 4 3" xfId="29560" xr:uid="{00000000-0005-0000-0000-000078730000}"/>
    <cellStyle name="Normal 386 2 5" xfId="29561" xr:uid="{00000000-0005-0000-0000-000079730000}"/>
    <cellStyle name="Normal 386 3" xfId="29562" xr:uid="{00000000-0005-0000-0000-00007A730000}"/>
    <cellStyle name="Normal 386 3 2" xfId="29563" xr:uid="{00000000-0005-0000-0000-00007B730000}"/>
    <cellStyle name="Normal 386 3 2 2" xfId="29564" xr:uid="{00000000-0005-0000-0000-00007C730000}"/>
    <cellStyle name="Normal 386 3 2 2 2" xfId="29565" xr:uid="{00000000-0005-0000-0000-00007D730000}"/>
    <cellStyle name="Normal 386 3 2 3" xfId="29566" xr:uid="{00000000-0005-0000-0000-00007E730000}"/>
    <cellStyle name="Normal 386 3 2 3 2" xfId="29567" xr:uid="{00000000-0005-0000-0000-00007F730000}"/>
    <cellStyle name="Normal 386 3 2 3 2 2" xfId="29568" xr:uid="{00000000-0005-0000-0000-000080730000}"/>
    <cellStyle name="Normal 386 3 2 3 3" xfId="29569" xr:uid="{00000000-0005-0000-0000-000081730000}"/>
    <cellStyle name="Normal 386 3 2 4" xfId="29570" xr:uid="{00000000-0005-0000-0000-000082730000}"/>
    <cellStyle name="Normal 386 3 3" xfId="29571" xr:uid="{00000000-0005-0000-0000-000083730000}"/>
    <cellStyle name="Normal 386 3 3 2" xfId="29572" xr:uid="{00000000-0005-0000-0000-000084730000}"/>
    <cellStyle name="Normal 386 3 3 2 2" xfId="29573" xr:uid="{00000000-0005-0000-0000-000085730000}"/>
    <cellStyle name="Normal 386 3 3 3" xfId="29574" xr:uid="{00000000-0005-0000-0000-000086730000}"/>
    <cellStyle name="Normal 386 3 4" xfId="29575" xr:uid="{00000000-0005-0000-0000-000087730000}"/>
    <cellStyle name="Normal 386 3 4 2" xfId="29576" xr:uid="{00000000-0005-0000-0000-000088730000}"/>
    <cellStyle name="Normal 386 3 4 2 2" xfId="29577" xr:uid="{00000000-0005-0000-0000-000089730000}"/>
    <cellStyle name="Normal 386 3 4 3" xfId="29578" xr:uid="{00000000-0005-0000-0000-00008A730000}"/>
    <cellStyle name="Normal 386 3 5" xfId="29579" xr:uid="{00000000-0005-0000-0000-00008B730000}"/>
    <cellStyle name="Normal 386 3 5 2" xfId="29580" xr:uid="{00000000-0005-0000-0000-00008C730000}"/>
    <cellStyle name="Normal 386 3 5 2 2" xfId="29581" xr:uid="{00000000-0005-0000-0000-00008D730000}"/>
    <cellStyle name="Normal 386 3 5 3" xfId="29582" xr:uid="{00000000-0005-0000-0000-00008E730000}"/>
    <cellStyle name="Normal 386 3 6" xfId="29583" xr:uid="{00000000-0005-0000-0000-00008F730000}"/>
    <cellStyle name="Normal 386 4" xfId="29584" xr:uid="{00000000-0005-0000-0000-000090730000}"/>
    <cellStyle name="Normal 386 4 2" xfId="29585" xr:uid="{00000000-0005-0000-0000-000091730000}"/>
    <cellStyle name="Normal 386 4 2 2" xfId="29586" xr:uid="{00000000-0005-0000-0000-000092730000}"/>
    <cellStyle name="Normal 386 4 3" xfId="29587" xr:uid="{00000000-0005-0000-0000-000093730000}"/>
    <cellStyle name="Normal 386 5" xfId="29588" xr:uid="{00000000-0005-0000-0000-000094730000}"/>
    <cellStyle name="Normal 386 5 2" xfId="29589" xr:uid="{00000000-0005-0000-0000-000095730000}"/>
    <cellStyle name="Normal 386 5 2 2" xfId="29590" xr:uid="{00000000-0005-0000-0000-000096730000}"/>
    <cellStyle name="Normal 386 5 3" xfId="29591" xr:uid="{00000000-0005-0000-0000-000097730000}"/>
    <cellStyle name="Normal 386 6" xfId="29592" xr:uid="{00000000-0005-0000-0000-000098730000}"/>
    <cellStyle name="Normal 386 6 2" xfId="29593" xr:uid="{00000000-0005-0000-0000-000099730000}"/>
    <cellStyle name="Normal 386 6 2 2" xfId="29594" xr:uid="{00000000-0005-0000-0000-00009A730000}"/>
    <cellStyle name="Normal 386 6 3" xfId="29595" xr:uid="{00000000-0005-0000-0000-00009B730000}"/>
    <cellStyle name="Normal 386 7" xfId="29596" xr:uid="{00000000-0005-0000-0000-00009C730000}"/>
    <cellStyle name="Normal 387" xfId="29597" xr:uid="{00000000-0005-0000-0000-00009D730000}"/>
    <cellStyle name="Normal 387 2" xfId="29598" xr:uid="{00000000-0005-0000-0000-00009E730000}"/>
    <cellStyle name="Normal 387 2 2" xfId="29599" xr:uid="{00000000-0005-0000-0000-00009F730000}"/>
    <cellStyle name="Normal 387 2 2 2" xfId="29600" xr:uid="{00000000-0005-0000-0000-0000A0730000}"/>
    <cellStyle name="Normal 387 2 3" xfId="29601" xr:uid="{00000000-0005-0000-0000-0000A1730000}"/>
    <cellStyle name="Normal 387 2 3 2" xfId="29602" xr:uid="{00000000-0005-0000-0000-0000A2730000}"/>
    <cellStyle name="Normal 387 2 3 2 2" xfId="29603" xr:uid="{00000000-0005-0000-0000-0000A3730000}"/>
    <cellStyle name="Normal 387 2 3 3" xfId="29604" xr:uid="{00000000-0005-0000-0000-0000A4730000}"/>
    <cellStyle name="Normal 387 2 4" xfId="29605" xr:uid="{00000000-0005-0000-0000-0000A5730000}"/>
    <cellStyle name="Normal 387 2 4 2" xfId="29606" xr:uid="{00000000-0005-0000-0000-0000A6730000}"/>
    <cellStyle name="Normal 387 2 4 2 2" xfId="29607" xr:uid="{00000000-0005-0000-0000-0000A7730000}"/>
    <cellStyle name="Normal 387 2 4 3" xfId="29608" xr:uid="{00000000-0005-0000-0000-0000A8730000}"/>
    <cellStyle name="Normal 387 2 5" xfId="29609" xr:uid="{00000000-0005-0000-0000-0000A9730000}"/>
    <cellStyle name="Normal 387 3" xfId="29610" xr:uid="{00000000-0005-0000-0000-0000AA730000}"/>
    <cellStyle name="Normal 387 3 2" xfId="29611" xr:uid="{00000000-0005-0000-0000-0000AB730000}"/>
    <cellStyle name="Normal 387 3 2 2" xfId="29612" xr:uid="{00000000-0005-0000-0000-0000AC730000}"/>
    <cellStyle name="Normal 387 3 2 2 2" xfId="29613" xr:uid="{00000000-0005-0000-0000-0000AD730000}"/>
    <cellStyle name="Normal 387 3 2 3" xfId="29614" xr:uid="{00000000-0005-0000-0000-0000AE730000}"/>
    <cellStyle name="Normal 387 3 2 3 2" xfId="29615" xr:uid="{00000000-0005-0000-0000-0000AF730000}"/>
    <cellStyle name="Normal 387 3 2 3 2 2" xfId="29616" xr:uid="{00000000-0005-0000-0000-0000B0730000}"/>
    <cellStyle name="Normal 387 3 2 3 3" xfId="29617" xr:uid="{00000000-0005-0000-0000-0000B1730000}"/>
    <cellStyle name="Normal 387 3 2 4" xfId="29618" xr:uid="{00000000-0005-0000-0000-0000B2730000}"/>
    <cellStyle name="Normal 387 3 3" xfId="29619" xr:uid="{00000000-0005-0000-0000-0000B3730000}"/>
    <cellStyle name="Normal 387 3 3 2" xfId="29620" xr:uid="{00000000-0005-0000-0000-0000B4730000}"/>
    <cellStyle name="Normal 387 3 3 2 2" xfId="29621" xr:uid="{00000000-0005-0000-0000-0000B5730000}"/>
    <cellStyle name="Normal 387 3 3 3" xfId="29622" xr:uid="{00000000-0005-0000-0000-0000B6730000}"/>
    <cellStyle name="Normal 387 3 4" xfId="29623" xr:uid="{00000000-0005-0000-0000-0000B7730000}"/>
    <cellStyle name="Normal 387 3 4 2" xfId="29624" xr:uid="{00000000-0005-0000-0000-0000B8730000}"/>
    <cellStyle name="Normal 387 3 4 2 2" xfId="29625" xr:uid="{00000000-0005-0000-0000-0000B9730000}"/>
    <cellStyle name="Normal 387 3 4 3" xfId="29626" xr:uid="{00000000-0005-0000-0000-0000BA730000}"/>
    <cellStyle name="Normal 387 3 5" xfId="29627" xr:uid="{00000000-0005-0000-0000-0000BB730000}"/>
    <cellStyle name="Normal 387 3 5 2" xfId="29628" xr:uid="{00000000-0005-0000-0000-0000BC730000}"/>
    <cellStyle name="Normal 387 3 5 2 2" xfId="29629" xr:uid="{00000000-0005-0000-0000-0000BD730000}"/>
    <cellStyle name="Normal 387 3 5 3" xfId="29630" xr:uid="{00000000-0005-0000-0000-0000BE730000}"/>
    <cellStyle name="Normal 387 3 6" xfId="29631" xr:uid="{00000000-0005-0000-0000-0000BF730000}"/>
    <cellStyle name="Normal 387 4" xfId="29632" xr:uid="{00000000-0005-0000-0000-0000C0730000}"/>
    <cellStyle name="Normal 387 4 2" xfId="29633" xr:uid="{00000000-0005-0000-0000-0000C1730000}"/>
    <cellStyle name="Normal 387 4 2 2" xfId="29634" xr:uid="{00000000-0005-0000-0000-0000C2730000}"/>
    <cellStyle name="Normal 387 4 3" xfId="29635" xr:uid="{00000000-0005-0000-0000-0000C3730000}"/>
    <cellStyle name="Normal 387 5" xfId="29636" xr:uid="{00000000-0005-0000-0000-0000C4730000}"/>
    <cellStyle name="Normal 387 5 2" xfId="29637" xr:uid="{00000000-0005-0000-0000-0000C5730000}"/>
    <cellStyle name="Normal 387 5 2 2" xfId="29638" xr:uid="{00000000-0005-0000-0000-0000C6730000}"/>
    <cellStyle name="Normal 387 5 3" xfId="29639" xr:uid="{00000000-0005-0000-0000-0000C7730000}"/>
    <cellStyle name="Normal 387 6" xfId="29640" xr:uid="{00000000-0005-0000-0000-0000C8730000}"/>
    <cellStyle name="Normal 387 6 2" xfId="29641" xr:uid="{00000000-0005-0000-0000-0000C9730000}"/>
    <cellStyle name="Normal 387 6 2 2" xfId="29642" xr:uid="{00000000-0005-0000-0000-0000CA730000}"/>
    <cellStyle name="Normal 387 6 3" xfId="29643" xr:uid="{00000000-0005-0000-0000-0000CB730000}"/>
    <cellStyle name="Normal 387 7" xfId="29644" xr:uid="{00000000-0005-0000-0000-0000CC730000}"/>
    <cellStyle name="Normal 388" xfId="29645" xr:uid="{00000000-0005-0000-0000-0000CD730000}"/>
    <cellStyle name="Normal 388 2" xfId="29646" xr:uid="{00000000-0005-0000-0000-0000CE730000}"/>
    <cellStyle name="Normal 388 2 2" xfId="29647" xr:uid="{00000000-0005-0000-0000-0000CF730000}"/>
    <cellStyle name="Normal 388 2 2 2" xfId="29648" xr:uid="{00000000-0005-0000-0000-0000D0730000}"/>
    <cellStyle name="Normal 388 2 3" xfId="29649" xr:uid="{00000000-0005-0000-0000-0000D1730000}"/>
    <cellStyle name="Normal 388 2 3 2" xfId="29650" xr:uid="{00000000-0005-0000-0000-0000D2730000}"/>
    <cellStyle name="Normal 388 2 3 2 2" xfId="29651" xr:uid="{00000000-0005-0000-0000-0000D3730000}"/>
    <cellStyle name="Normal 388 2 3 3" xfId="29652" xr:uid="{00000000-0005-0000-0000-0000D4730000}"/>
    <cellStyle name="Normal 388 2 4" xfId="29653" xr:uid="{00000000-0005-0000-0000-0000D5730000}"/>
    <cellStyle name="Normal 388 2 4 2" xfId="29654" xr:uid="{00000000-0005-0000-0000-0000D6730000}"/>
    <cellStyle name="Normal 388 2 4 2 2" xfId="29655" xr:uid="{00000000-0005-0000-0000-0000D7730000}"/>
    <cellStyle name="Normal 388 2 4 3" xfId="29656" xr:uid="{00000000-0005-0000-0000-0000D8730000}"/>
    <cellStyle name="Normal 388 2 5" xfId="29657" xr:uid="{00000000-0005-0000-0000-0000D9730000}"/>
    <cellStyle name="Normal 388 3" xfId="29658" xr:uid="{00000000-0005-0000-0000-0000DA730000}"/>
    <cellStyle name="Normal 388 3 2" xfId="29659" xr:uid="{00000000-0005-0000-0000-0000DB730000}"/>
    <cellStyle name="Normal 388 3 2 2" xfId="29660" xr:uid="{00000000-0005-0000-0000-0000DC730000}"/>
    <cellStyle name="Normal 388 3 2 2 2" xfId="29661" xr:uid="{00000000-0005-0000-0000-0000DD730000}"/>
    <cellStyle name="Normal 388 3 2 3" xfId="29662" xr:uid="{00000000-0005-0000-0000-0000DE730000}"/>
    <cellStyle name="Normal 388 3 2 3 2" xfId="29663" xr:uid="{00000000-0005-0000-0000-0000DF730000}"/>
    <cellStyle name="Normal 388 3 2 3 2 2" xfId="29664" xr:uid="{00000000-0005-0000-0000-0000E0730000}"/>
    <cellStyle name="Normal 388 3 2 3 3" xfId="29665" xr:uid="{00000000-0005-0000-0000-0000E1730000}"/>
    <cellStyle name="Normal 388 3 2 4" xfId="29666" xr:uid="{00000000-0005-0000-0000-0000E2730000}"/>
    <cellStyle name="Normal 388 3 3" xfId="29667" xr:uid="{00000000-0005-0000-0000-0000E3730000}"/>
    <cellStyle name="Normal 388 3 3 2" xfId="29668" xr:uid="{00000000-0005-0000-0000-0000E4730000}"/>
    <cellStyle name="Normal 388 3 3 2 2" xfId="29669" xr:uid="{00000000-0005-0000-0000-0000E5730000}"/>
    <cellStyle name="Normal 388 3 3 3" xfId="29670" xr:uid="{00000000-0005-0000-0000-0000E6730000}"/>
    <cellStyle name="Normal 388 3 4" xfId="29671" xr:uid="{00000000-0005-0000-0000-0000E7730000}"/>
    <cellStyle name="Normal 388 3 4 2" xfId="29672" xr:uid="{00000000-0005-0000-0000-0000E8730000}"/>
    <cellStyle name="Normal 388 3 4 2 2" xfId="29673" xr:uid="{00000000-0005-0000-0000-0000E9730000}"/>
    <cellStyle name="Normal 388 3 4 3" xfId="29674" xr:uid="{00000000-0005-0000-0000-0000EA730000}"/>
    <cellStyle name="Normal 388 3 5" xfId="29675" xr:uid="{00000000-0005-0000-0000-0000EB730000}"/>
    <cellStyle name="Normal 388 3 5 2" xfId="29676" xr:uid="{00000000-0005-0000-0000-0000EC730000}"/>
    <cellStyle name="Normal 388 3 5 2 2" xfId="29677" xr:uid="{00000000-0005-0000-0000-0000ED730000}"/>
    <cellStyle name="Normal 388 3 5 3" xfId="29678" xr:uid="{00000000-0005-0000-0000-0000EE730000}"/>
    <cellStyle name="Normal 388 3 6" xfId="29679" xr:uid="{00000000-0005-0000-0000-0000EF730000}"/>
    <cellStyle name="Normal 388 4" xfId="29680" xr:uid="{00000000-0005-0000-0000-0000F0730000}"/>
    <cellStyle name="Normal 388 4 2" xfId="29681" xr:uid="{00000000-0005-0000-0000-0000F1730000}"/>
    <cellStyle name="Normal 388 4 2 2" xfId="29682" xr:uid="{00000000-0005-0000-0000-0000F2730000}"/>
    <cellStyle name="Normal 388 4 3" xfId="29683" xr:uid="{00000000-0005-0000-0000-0000F3730000}"/>
    <cellStyle name="Normal 388 5" xfId="29684" xr:uid="{00000000-0005-0000-0000-0000F4730000}"/>
    <cellStyle name="Normal 388 5 2" xfId="29685" xr:uid="{00000000-0005-0000-0000-0000F5730000}"/>
    <cellStyle name="Normal 388 5 2 2" xfId="29686" xr:uid="{00000000-0005-0000-0000-0000F6730000}"/>
    <cellStyle name="Normal 388 5 3" xfId="29687" xr:uid="{00000000-0005-0000-0000-0000F7730000}"/>
    <cellStyle name="Normal 388 6" xfId="29688" xr:uid="{00000000-0005-0000-0000-0000F8730000}"/>
    <cellStyle name="Normal 388 6 2" xfId="29689" xr:uid="{00000000-0005-0000-0000-0000F9730000}"/>
    <cellStyle name="Normal 388 6 2 2" xfId="29690" xr:uid="{00000000-0005-0000-0000-0000FA730000}"/>
    <cellStyle name="Normal 388 6 3" xfId="29691" xr:uid="{00000000-0005-0000-0000-0000FB730000}"/>
    <cellStyle name="Normal 388 7" xfId="29692" xr:uid="{00000000-0005-0000-0000-0000FC730000}"/>
    <cellStyle name="Normal 389" xfId="29693" xr:uid="{00000000-0005-0000-0000-0000FD730000}"/>
    <cellStyle name="Normal 389 2" xfId="29694" xr:uid="{00000000-0005-0000-0000-0000FE730000}"/>
    <cellStyle name="Normal 389 2 2" xfId="29695" xr:uid="{00000000-0005-0000-0000-0000FF730000}"/>
    <cellStyle name="Normal 389 2 2 2" xfId="29696" xr:uid="{00000000-0005-0000-0000-000000740000}"/>
    <cellStyle name="Normal 389 2 3" xfId="29697" xr:uid="{00000000-0005-0000-0000-000001740000}"/>
    <cellStyle name="Normal 389 2 3 2" xfId="29698" xr:uid="{00000000-0005-0000-0000-000002740000}"/>
    <cellStyle name="Normal 389 2 3 2 2" xfId="29699" xr:uid="{00000000-0005-0000-0000-000003740000}"/>
    <cellStyle name="Normal 389 2 3 3" xfId="29700" xr:uid="{00000000-0005-0000-0000-000004740000}"/>
    <cellStyle name="Normal 389 2 4" xfId="29701" xr:uid="{00000000-0005-0000-0000-000005740000}"/>
    <cellStyle name="Normal 389 2 4 2" xfId="29702" xr:uid="{00000000-0005-0000-0000-000006740000}"/>
    <cellStyle name="Normal 389 2 4 2 2" xfId="29703" xr:uid="{00000000-0005-0000-0000-000007740000}"/>
    <cellStyle name="Normal 389 2 4 3" xfId="29704" xr:uid="{00000000-0005-0000-0000-000008740000}"/>
    <cellStyle name="Normal 389 2 5" xfId="29705" xr:uid="{00000000-0005-0000-0000-000009740000}"/>
    <cellStyle name="Normal 389 3" xfId="29706" xr:uid="{00000000-0005-0000-0000-00000A740000}"/>
    <cellStyle name="Normal 389 3 2" xfId="29707" xr:uid="{00000000-0005-0000-0000-00000B740000}"/>
    <cellStyle name="Normal 389 3 2 2" xfId="29708" xr:uid="{00000000-0005-0000-0000-00000C740000}"/>
    <cellStyle name="Normal 389 3 2 2 2" xfId="29709" xr:uid="{00000000-0005-0000-0000-00000D740000}"/>
    <cellStyle name="Normal 389 3 2 3" xfId="29710" xr:uid="{00000000-0005-0000-0000-00000E740000}"/>
    <cellStyle name="Normal 389 3 2 3 2" xfId="29711" xr:uid="{00000000-0005-0000-0000-00000F740000}"/>
    <cellStyle name="Normal 389 3 2 3 2 2" xfId="29712" xr:uid="{00000000-0005-0000-0000-000010740000}"/>
    <cellStyle name="Normal 389 3 2 3 3" xfId="29713" xr:uid="{00000000-0005-0000-0000-000011740000}"/>
    <cellStyle name="Normal 389 3 2 4" xfId="29714" xr:uid="{00000000-0005-0000-0000-000012740000}"/>
    <cellStyle name="Normal 389 3 3" xfId="29715" xr:uid="{00000000-0005-0000-0000-000013740000}"/>
    <cellStyle name="Normal 389 3 3 2" xfId="29716" xr:uid="{00000000-0005-0000-0000-000014740000}"/>
    <cellStyle name="Normal 389 3 3 2 2" xfId="29717" xr:uid="{00000000-0005-0000-0000-000015740000}"/>
    <cellStyle name="Normal 389 3 3 3" xfId="29718" xr:uid="{00000000-0005-0000-0000-000016740000}"/>
    <cellStyle name="Normal 389 3 4" xfId="29719" xr:uid="{00000000-0005-0000-0000-000017740000}"/>
    <cellStyle name="Normal 389 3 4 2" xfId="29720" xr:uid="{00000000-0005-0000-0000-000018740000}"/>
    <cellStyle name="Normal 389 3 4 2 2" xfId="29721" xr:uid="{00000000-0005-0000-0000-000019740000}"/>
    <cellStyle name="Normal 389 3 4 3" xfId="29722" xr:uid="{00000000-0005-0000-0000-00001A740000}"/>
    <cellStyle name="Normal 389 3 5" xfId="29723" xr:uid="{00000000-0005-0000-0000-00001B740000}"/>
    <cellStyle name="Normal 389 3 5 2" xfId="29724" xr:uid="{00000000-0005-0000-0000-00001C740000}"/>
    <cellStyle name="Normal 389 3 5 2 2" xfId="29725" xr:uid="{00000000-0005-0000-0000-00001D740000}"/>
    <cellStyle name="Normal 389 3 5 3" xfId="29726" xr:uid="{00000000-0005-0000-0000-00001E740000}"/>
    <cellStyle name="Normal 389 3 6" xfId="29727" xr:uid="{00000000-0005-0000-0000-00001F740000}"/>
    <cellStyle name="Normal 389 4" xfId="29728" xr:uid="{00000000-0005-0000-0000-000020740000}"/>
    <cellStyle name="Normal 389 4 2" xfId="29729" xr:uid="{00000000-0005-0000-0000-000021740000}"/>
    <cellStyle name="Normal 389 4 2 2" xfId="29730" xr:uid="{00000000-0005-0000-0000-000022740000}"/>
    <cellStyle name="Normal 389 4 3" xfId="29731" xr:uid="{00000000-0005-0000-0000-000023740000}"/>
    <cellStyle name="Normal 389 5" xfId="29732" xr:uid="{00000000-0005-0000-0000-000024740000}"/>
    <cellStyle name="Normal 389 5 2" xfId="29733" xr:uid="{00000000-0005-0000-0000-000025740000}"/>
    <cellStyle name="Normal 389 5 2 2" xfId="29734" xr:uid="{00000000-0005-0000-0000-000026740000}"/>
    <cellStyle name="Normal 389 5 3" xfId="29735" xr:uid="{00000000-0005-0000-0000-000027740000}"/>
    <cellStyle name="Normal 389 6" xfId="29736" xr:uid="{00000000-0005-0000-0000-000028740000}"/>
    <cellStyle name="Normal 389 6 2" xfId="29737" xr:uid="{00000000-0005-0000-0000-000029740000}"/>
    <cellStyle name="Normal 389 6 2 2" xfId="29738" xr:uid="{00000000-0005-0000-0000-00002A740000}"/>
    <cellStyle name="Normal 389 6 3" xfId="29739" xr:uid="{00000000-0005-0000-0000-00002B740000}"/>
    <cellStyle name="Normal 389 7" xfId="29740" xr:uid="{00000000-0005-0000-0000-00002C740000}"/>
    <cellStyle name="Normal 39" xfId="29741" xr:uid="{00000000-0005-0000-0000-00002D740000}"/>
    <cellStyle name="Normal 39 2" xfId="29742" xr:uid="{00000000-0005-0000-0000-00002E740000}"/>
    <cellStyle name="Normal 39 2 2" xfId="29743" xr:uid="{00000000-0005-0000-0000-00002F740000}"/>
    <cellStyle name="Normal 39 2 2 2" xfId="29744" xr:uid="{00000000-0005-0000-0000-000030740000}"/>
    <cellStyle name="Normal 39 2 2 2 2" xfId="29745" xr:uid="{00000000-0005-0000-0000-000031740000}"/>
    <cellStyle name="Normal 39 2 2 3" xfId="29746" xr:uid="{00000000-0005-0000-0000-000032740000}"/>
    <cellStyle name="Normal 39 2 2 3 2" xfId="29747" xr:uid="{00000000-0005-0000-0000-000033740000}"/>
    <cellStyle name="Normal 39 2 2 3 2 2" xfId="29748" xr:uid="{00000000-0005-0000-0000-000034740000}"/>
    <cellStyle name="Normal 39 2 2 3 3" xfId="29749" xr:uid="{00000000-0005-0000-0000-000035740000}"/>
    <cellStyle name="Normal 39 2 2 4" xfId="29750" xr:uid="{00000000-0005-0000-0000-000036740000}"/>
    <cellStyle name="Normal 39 2 2 4 2" xfId="29751" xr:uid="{00000000-0005-0000-0000-000037740000}"/>
    <cellStyle name="Normal 39 2 2 4 2 2" xfId="29752" xr:uid="{00000000-0005-0000-0000-000038740000}"/>
    <cellStyle name="Normal 39 2 2 4 3" xfId="29753" xr:uid="{00000000-0005-0000-0000-000039740000}"/>
    <cellStyle name="Normal 39 2 2 5" xfId="29754" xr:uid="{00000000-0005-0000-0000-00003A740000}"/>
    <cellStyle name="Normal 39 2 3" xfId="29755" xr:uid="{00000000-0005-0000-0000-00003B740000}"/>
    <cellStyle name="Normal 39 2 3 2" xfId="29756" xr:uid="{00000000-0005-0000-0000-00003C740000}"/>
    <cellStyle name="Normal 39 2 3 2 2" xfId="29757" xr:uid="{00000000-0005-0000-0000-00003D740000}"/>
    <cellStyle name="Normal 39 2 3 3" xfId="29758" xr:uid="{00000000-0005-0000-0000-00003E740000}"/>
    <cellStyle name="Normal 39 2 4" xfId="29759" xr:uid="{00000000-0005-0000-0000-00003F740000}"/>
    <cellStyle name="Normal 39 2 4 2" xfId="29760" xr:uid="{00000000-0005-0000-0000-000040740000}"/>
    <cellStyle name="Normal 39 2 4 2 2" xfId="29761" xr:uid="{00000000-0005-0000-0000-000041740000}"/>
    <cellStyle name="Normal 39 2 4 3" xfId="29762" xr:uid="{00000000-0005-0000-0000-000042740000}"/>
    <cellStyle name="Normal 39 2 5" xfId="29763" xr:uid="{00000000-0005-0000-0000-000043740000}"/>
    <cellStyle name="Normal 39 2 5 2" xfId="29764" xr:uid="{00000000-0005-0000-0000-000044740000}"/>
    <cellStyle name="Normal 39 2 5 2 2" xfId="29765" xr:uid="{00000000-0005-0000-0000-000045740000}"/>
    <cellStyle name="Normal 39 2 5 3" xfId="29766" xr:uid="{00000000-0005-0000-0000-000046740000}"/>
    <cellStyle name="Normal 39 2 6" xfId="29767" xr:uid="{00000000-0005-0000-0000-000047740000}"/>
    <cellStyle name="Normal 39 3" xfId="29768" xr:uid="{00000000-0005-0000-0000-000048740000}"/>
    <cellStyle name="Normal 39 3 2" xfId="29769" xr:uid="{00000000-0005-0000-0000-000049740000}"/>
    <cellStyle name="Normal 39 3 2 2" xfId="29770" xr:uid="{00000000-0005-0000-0000-00004A740000}"/>
    <cellStyle name="Normal 39 3 3" xfId="29771" xr:uid="{00000000-0005-0000-0000-00004B740000}"/>
    <cellStyle name="Normal 39 3 3 2" xfId="29772" xr:uid="{00000000-0005-0000-0000-00004C740000}"/>
    <cellStyle name="Normal 39 3 3 2 2" xfId="29773" xr:uid="{00000000-0005-0000-0000-00004D740000}"/>
    <cellStyle name="Normal 39 3 3 3" xfId="29774" xr:uid="{00000000-0005-0000-0000-00004E740000}"/>
    <cellStyle name="Normal 39 3 4" xfId="29775" xr:uid="{00000000-0005-0000-0000-00004F740000}"/>
    <cellStyle name="Normal 39 3 4 2" xfId="29776" xr:uid="{00000000-0005-0000-0000-000050740000}"/>
    <cellStyle name="Normal 39 3 4 2 2" xfId="29777" xr:uid="{00000000-0005-0000-0000-000051740000}"/>
    <cellStyle name="Normal 39 3 4 3" xfId="29778" xr:uid="{00000000-0005-0000-0000-000052740000}"/>
    <cellStyle name="Normal 39 3 5" xfId="29779" xr:uid="{00000000-0005-0000-0000-000053740000}"/>
    <cellStyle name="Normal 39 4" xfId="29780" xr:uid="{00000000-0005-0000-0000-000054740000}"/>
    <cellStyle name="Normal 39 4 2" xfId="29781" xr:uid="{00000000-0005-0000-0000-000055740000}"/>
    <cellStyle name="Normal 39 4 2 2" xfId="29782" xr:uid="{00000000-0005-0000-0000-000056740000}"/>
    <cellStyle name="Normal 39 4 3" xfId="29783" xr:uid="{00000000-0005-0000-0000-000057740000}"/>
    <cellStyle name="Normal 39 5" xfId="29784" xr:uid="{00000000-0005-0000-0000-000058740000}"/>
    <cellStyle name="Normal 39 5 2" xfId="29785" xr:uid="{00000000-0005-0000-0000-000059740000}"/>
    <cellStyle name="Normal 39 5 2 2" xfId="29786" xr:uid="{00000000-0005-0000-0000-00005A740000}"/>
    <cellStyle name="Normal 39 5 3" xfId="29787" xr:uid="{00000000-0005-0000-0000-00005B740000}"/>
    <cellStyle name="Normal 39 6" xfId="29788" xr:uid="{00000000-0005-0000-0000-00005C740000}"/>
    <cellStyle name="Normal 39 6 2" xfId="29789" xr:uid="{00000000-0005-0000-0000-00005D740000}"/>
    <cellStyle name="Normal 39 6 2 2" xfId="29790" xr:uid="{00000000-0005-0000-0000-00005E740000}"/>
    <cellStyle name="Normal 39 6 3" xfId="29791" xr:uid="{00000000-0005-0000-0000-00005F740000}"/>
    <cellStyle name="Normal 39 7" xfId="29792" xr:uid="{00000000-0005-0000-0000-000060740000}"/>
    <cellStyle name="Normal 390" xfId="29793" xr:uid="{00000000-0005-0000-0000-000061740000}"/>
    <cellStyle name="Normal 390 2" xfId="29794" xr:uid="{00000000-0005-0000-0000-000062740000}"/>
    <cellStyle name="Normal 390 2 2" xfId="29795" xr:uid="{00000000-0005-0000-0000-000063740000}"/>
    <cellStyle name="Normal 390 2 2 2" xfId="29796" xr:uid="{00000000-0005-0000-0000-000064740000}"/>
    <cellStyle name="Normal 390 2 3" xfId="29797" xr:uid="{00000000-0005-0000-0000-000065740000}"/>
    <cellStyle name="Normal 390 2 3 2" xfId="29798" xr:uid="{00000000-0005-0000-0000-000066740000}"/>
    <cellStyle name="Normal 390 2 3 2 2" xfId="29799" xr:uid="{00000000-0005-0000-0000-000067740000}"/>
    <cellStyle name="Normal 390 2 3 3" xfId="29800" xr:uid="{00000000-0005-0000-0000-000068740000}"/>
    <cellStyle name="Normal 390 2 4" xfId="29801" xr:uid="{00000000-0005-0000-0000-000069740000}"/>
    <cellStyle name="Normal 390 2 4 2" xfId="29802" xr:uid="{00000000-0005-0000-0000-00006A740000}"/>
    <cellStyle name="Normal 390 2 4 2 2" xfId="29803" xr:uid="{00000000-0005-0000-0000-00006B740000}"/>
    <cellStyle name="Normal 390 2 4 3" xfId="29804" xr:uid="{00000000-0005-0000-0000-00006C740000}"/>
    <cellStyle name="Normal 390 2 5" xfId="29805" xr:uid="{00000000-0005-0000-0000-00006D740000}"/>
    <cellStyle name="Normal 390 3" xfId="29806" xr:uid="{00000000-0005-0000-0000-00006E740000}"/>
    <cellStyle name="Normal 390 3 2" xfId="29807" xr:uid="{00000000-0005-0000-0000-00006F740000}"/>
    <cellStyle name="Normal 390 3 2 2" xfId="29808" xr:uid="{00000000-0005-0000-0000-000070740000}"/>
    <cellStyle name="Normal 390 3 2 2 2" xfId="29809" xr:uid="{00000000-0005-0000-0000-000071740000}"/>
    <cellStyle name="Normal 390 3 2 3" xfId="29810" xr:uid="{00000000-0005-0000-0000-000072740000}"/>
    <cellStyle name="Normal 390 3 2 3 2" xfId="29811" xr:uid="{00000000-0005-0000-0000-000073740000}"/>
    <cellStyle name="Normal 390 3 2 3 2 2" xfId="29812" xr:uid="{00000000-0005-0000-0000-000074740000}"/>
    <cellStyle name="Normal 390 3 2 3 3" xfId="29813" xr:uid="{00000000-0005-0000-0000-000075740000}"/>
    <cellStyle name="Normal 390 3 2 4" xfId="29814" xr:uid="{00000000-0005-0000-0000-000076740000}"/>
    <cellStyle name="Normal 390 3 3" xfId="29815" xr:uid="{00000000-0005-0000-0000-000077740000}"/>
    <cellStyle name="Normal 390 3 3 2" xfId="29816" xr:uid="{00000000-0005-0000-0000-000078740000}"/>
    <cellStyle name="Normal 390 3 3 2 2" xfId="29817" xr:uid="{00000000-0005-0000-0000-000079740000}"/>
    <cellStyle name="Normal 390 3 3 3" xfId="29818" xr:uid="{00000000-0005-0000-0000-00007A740000}"/>
    <cellStyle name="Normal 390 3 4" xfId="29819" xr:uid="{00000000-0005-0000-0000-00007B740000}"/>
    <cellStyle name="Normal 390 3 4 2" xfId="29820" xr:uid="{00000000-0005-0000-0000-00007C740000}"/>
    <cellStyle name="Normal 390 3 4 2 2" xfId="29821" xr:uid="{00000000-0005-0000-0000-00007D740000}"/>
    <cellStyle name="Normal 390 3 4 3" xfId="29822" xr:uid="{00000000-0005-0000-0000-00007E740000}"/>
    <cellStyle name="Normal 390 3 5" xfId="29823" xr:uid="{00000000-0005-0000-0000-00007F740000}"/>
    <cellStyle name="Normal 390 3 5 2" xfId="29824" xr:uid="{00000000-0005-0000-0000-000080740000}"/>
    <cellStyle name="Normal 390 3 5 2 2" xfId="29825" xr:uid="{00000000-0005-0000-0000-000081740000}"/>
    <cellStyle name="Normal 390 3 5 3" xfId="29826" xr:uid="{00000000-0005-0000-0000-000082740000}"/>
    <cellStyle name="Normal 390 3 6" xfId="29827" xr:uid="{00000000-0005-0000-0000-000083740000}"/>
    <cellStyle name="Normal 390 4" xfId="29828" xr:uid="{00000000-0005-0000-0000-000084740000}"/>
    <cellStyle name="Normal 390 4 2" xfId="29829" xr:uid="{00000000-0005-0000-0000-000085740000}"/>
    <cellStyle name="Normal 390 4 2 2" xfId="29830" xr:uid="{00000000-0005-0000-0000-000086740000}"/>
    <cellStyle name="Normal 390 4 3" xfId="29831" xr:uid="{00000000-0005-0000-0000-000087740000}"/>
    <cellStyle name="Normal 390 5" xfId="29832" xr:uid="{00000000-0005-0000-0000-000088740000}"/>
    <cellStyle name="Normal 390 5 2" xfId="29833" xr:uid="{00000000-0005-0000-0000-000089740000}"/>
    <cellStyle name="Normal 390 5 2 2" xfId="29834" xr:uid="{00000000-0005-0000-0000-00008A740000}"/>
    <cellStyle name="Normal 390 5 3" xfId="29835" xr:uid="{00000000-0005-0000-0000-00008B740000}"/>
    <cellStyle name="Normal 390 6" xfId="29836" xr:uid="{00000000-0005-0000-0000-00008C740000}"/>
    <cellStyle name="Normal 390 6 2" xfId="29837" xr:uid="{00000000-0005-0000-0000-00008D740000}"/>
    <cellStyle name="Normal 390 6 2 2" xfId="29838" xr:uid="{00000000-0005-0000-0000-00008E740000}"/>
    <cellStyle name="Normal 390 6 3" xfId="29839" xr:uid="{00000000-0005-0000-0000-00008F740000}"/>
    <cellStyle name="Normal 390 7" xfId="29840" xr:uid="{00000000-0005-0000-0000-000090740000}"/>
    <cellStyle name="Normal 391" xfId="29841" xr:uid="{00000000-0005-0000-0000-000091740000}"/>
    <cellStyle name="Normal 391 2" xfId="29842" xr:uid="{00000000-0005-0000-0000-000092740000}"/>
    <cellStyle name="Normal 391 2 2" xfId="29843" xr:uid="{00000000-0005-0000-0000-000093740000}"/>
    <cellStyle name="Normal 391 2 2 2" xfId="29844" xr:uid="{00000000-0005-0000-0000-000094740000}"/>
    <cellStyle name="Normal 391 2 3" xfId="29845" xr:uid="{00000000-0005-0000-0000-000095740000}"/>
    <cellStyle name="Normal 391 2 3 2" xfId="29846" xr:uid="{00000000-0005-0000-0000-000096740000}"/>
    <cellStyle name="Normal 391 2 3 2 2" xfId="29847" xr:uid="{00000000-0005-0000-0000-000097740000}"/>
    <cellStyle name="Normal 391 2 3 3" xfId="29848" xr:uid="{00000000-0005-0000-0000-000098740000}"/>
    <cellStyle name="Normal 391 2 4" xfId="29849" xr:uid="{00000000-0005-0000-0000-000099740000}"/>
    <cellStyle name="Normal 391 2 4 2" xfId="29850" xr:uid="{00000000-0005-0000-0000-00009A740000}"/>
    <cellStyle name="Normal 391 2 4 2 2" xfId="29851" xr:uid="{00000000-0005-0000-0000-00009B740000}"/>
    <cellStyle name="Normal 391 2 4 3" xfId="29852" xr:uid="{00000000-0005-0000-0000-00009C740000}"/>
    <cellStyle name="Normal 391 2 5" xfId="29853" xr:uid="{00000000-0005-0000-0000-00009D740000}"/>
    <cellStyle name="Normal 391 3" xfId="29854" xr:uid="{00000000-0005-0000-0000-00009E740000}"/>
    <cellStyle name="Normal 391 3 2" xfId="29855" xr:uid="{00000000-0005-0000-0000-00009F740000}"/>
    <cellStyle name="Normal 391 3 2 2" xfId="29856" xr:uid="{00000000-0005-0000-0000-0000A0740000}"/>
    <cellStyle name="Normal 391 3 2 2 2" xfId="29857" xr:uid="{00000000-0005-0000-0000-0000A1740000}"/>
    <cellStyle name="Normal 391 3 2 3" xfId="29858" xr:uid="{00000000-0005-0000-0000-0000A2740000}"/>
    <cellStyle name="Normal 391 3 2 3 2" xfId="29859" xr:uid="{00000000-0005-0000-0000-0000A3740000}"/>
    <cellStyle name="Normal 391 3 2 3 2 2" xfId="29860" xr:uid="{00000000-0005-0000-0000-0000A4740000}"/>
    <cellStyle name="Normal 391 3 2 3 3" xfId="29861" xr:uid="{00000000-0005-0000-0000-0000A5740000}"/>
    <cellStyle name="Normal 391 3 2 4" xfId="29862" xr:uid="{00000000-0005-0000-0000-0000A6740000}"/>
    <cellStyle name="Normal 391 3 3" xfId="29863" xr:uid="{00000000-0005-0000-0000-0000A7740000}"/>
    <cellStyle name="Normal 391 3 3 2" xfId="29864" xr:uid="{00000000-0005-0000-0000-0000A8740000}"/>
    <cellStyle name="Normal 391 3 3 2 2" xfId="29865" xr:uid="{00000000-0005-0000-0000-0000A9740000}"/>
    <cellStyle name="Normal 391 3 3 3" xfId="29866" xr:uid="{00000000-0005-0000-0000-0000AA740000}"/>
    <cellStyle name="Normal 391 3 4" xfId="29867" xr:uid="{00000000-0005-0000-0000-0000AB740000}"/>
    <cellStyle name="Normal 391 3 4 2" xfId="29868" xr:uid="{00000000-0005-0000-0000-0000AC740000}"/>
    <cellStyle name="Normal 391 3 4 2 2" xfId="29869" xr:uid="{00000000-0005-0000-0000-0000AD740000}"/>
    <cellStyle name="Normal 391 3 4 3" xfId="29870" xr:uid="{00000000-0005-0000-0000-0000AE740000}"/>
    <cellStyle name="Normal 391 3 5" xfId="29871" xr:uid="{00000000-0005-0000-0000-0000AF740000}"/>
    <cellStyle name="Normal 391 3 5 2" xfId="29872" xr:uid="{00000000-0005-0000-0000-0000B0740000}"/>
    <cellStyle name="Normal 391 3 5 2 2" xfId="29873" xr:uid="{00000000-0005-0000-0000-0000B1740000}"/>
    <cellStyle name="Normal 391 3 5 3" xfId="29874" xr:uid="{00000000-0005-0000-0000-0000B2740000}"/>
    <cellStyle name="Normal 391 3 6" xfId="29875" xr:uid="{00000000-0005-0000-0000-0000B3740000}"/>
    <cellStyle name="Normal 391 4" xfId="29876" xr:uid="{00000000-0005-0000-0000-0000B4740000}"/>
    <cellStyle name="Normal 391 4 2" xfId="29877" xr:uid="{00000000-0005-0000-0000-0000B5740000}"/>
    <cellStyle name="Normal 391 4 2 2" xfId="29878" xr:uid="{00000000-0005-0000-0000-0000B6740000}"/>
    <cellStyle name="Normal 391 4 3" xfId="29879" xr:uid="{00000000-0005-0000-0000-0000B7740000}"/>
    <cellStyle name="Normal 391 5" xfId="29880" xr:uid="{00000000-0005-0000-0000-0000B8740000}"/>
    <cellStyle name="Normal 391 5 2" xfId="29881" xr:uid="{00000000-0005-0000-0000-0000B9740000}"/>
    <cellStyle name="Normal 391 5 2 2" xfId="29882" xr:uid="{00000000-0005-0000-0000-0000BA740000}"/>
    <cellStyle name="Normal 391 5 3" xfId="29883" xr:uid="{00000000-0005-0000-0000-0000BB740000}"/>
    <cellStyle name="Normal 391 6" xfId="29884" xr:uid="{00000000-0005-0000-0000-0000BC740000}"/>
    <cellStyle name="Normal 391 6 2" xfId="29885" xr:uid="{00000000-0005-0000-0000-0000BD740000}"/>
    <cellStyle name="Normal 391 6 2 2" xfId="29886" xr:uid="{00000000-0005-0000-0000-0000BE740000}"/>
    <cellStyle name="Normal 391 6 3" xfId="29887" xr:uid="{00000000-0005-0000-0000-0000BF740000}"/>
    <cellStyle name="Normal 391 7" xfId="29888" xr:uid="{00000000-0005-0000-0000-0000C0740000}"/>
    <cellStyle name="Normal 392" xfId="29889" xr:uid="{00000000-0005-0000-0000-0000C1740000}"/>
    <cellStyle name="Normal 392 2" xfId="29890" xr:uid="{00000000-0005-0000-0000-0000C2740000}"/>
    <cellStyle name="Normal 392 2 2" xfId="29891" xr:uid="{00000000-0005-0000-0000-0000C3740000}"/>
    <cellStyle name="Normal 392 2 2 2" xfId="29892" xr:uid="{00000000-0005-0000-0000-0000C4740000}"/>
    <cellStyle name="Normal 392 2 3" xfId="29893" xr:uid="{00000000-0005-0000-0000-0000C5740000}"/>
    <cellStyle name="Normal 392 2 3 2" xfId="29894" xr:uid="{00000000-0005-0000-0000-0000C6740000}"/>
    <cellStyle name="Normal 392 2 3 2 2" xfId="29895" xr:uid="{00000000-0005-0000-0000-0000C7740000}"/>
    <cellStyle name="Normal 392 2 3 3" xfId="29896" xr:uid="{00000000-0005-0000-0000-0000C8740000}"/>
    <cellStyle name="Normal 392 2 4" xfId="29897" xr:uid="{00000000-0005-0000-0000-0000C9740000}"/>
    <cellStyle name="Normal 392 2 4 2" xfId="29898" xr:uid="{00000000-0005-0000-0000-0000CA740000}"/>
    <cellStyle name="Normal 392 2 4 2 2" xfId="29899" xr:uid="{00000000-0005-0000-0000-0000CB740000}"/>
    <cellStyle name="Normal 392 2 4 3" xfId="29900" xr:uid="{00000000-0005-0000-0000-0000CC740000}"/>
    <cellStyle name="Normal 392 2 5" xfId="29901" xr:uid="{00000000-0005-0000-0000-0000CD740000}"/>
    <cellStyle name="Normal 392 3" xfId="29902" xr:uid="{00000000-0005-0000-0000-0000CE740000}"/>
    <cellStyle name="Normal 392 3 2" xfId="29903" xr:uid="{00000000-0005-0000-0000-0000CF740000}"/>
    <cellStyle name="Normal 392 3 2 2" xfId="29904" xr:uid="{00000000-0005-0000-0000-0000D0740000}"/>
    <cellStyle name="Normal 392 3 2 2 2" xfId="29905" xr:uid="{00000000-0005-0000-0000-0000D1740000}"/>
    <cellStyle name="Normal 392 3 2 3" xfId="29906" xr:uid="{00000000-0005-0000-0000-0000D2740000}"/>
    <cellStyle name="Normal 392 3 2 3 2" xfId="29907" xr:uid="{00000000-0005-0000-0000-0000D3740000}"/>
    <cellStyle name="Normal 392 3 2 3 2 2" xfId="29908" xr:uid="{00000000-0005-0000-0000-0000D4740000}"/>
    <cellStyle name="Normal 392 3 2 3 3" xfId="29909" xr:uid="{00000000-0005-0000-0000-0000D5740000}"/>
    <cellStyle name="Normal 392 3 2 4" xfId="29910" xr:uid="{00000000-0005-0000-0000-0000D6740000}"/>
    <cellStyle name="Normal 392 3 3" xfId="29911" xr:uid="{00000000-0005-0000-0000-0000D7740000}"/>
    <cellStyle name="Normal 392 3 3 2" xfId="29912" xr:uid="{00000000-0005-0000-0000-0000D8740000}"/>
    <cellStyle name="Normal 392 3 3 2 2" xfId="29913" xr:uid="{00000000-0005-0000-0000-0000D9740000}"/>
    <cellStyle name="Normal 392 3 3 3" xfId="29914" xr:uid="{00000000-0005-0000-0000-0000DA740000}"/>
    <cellStyle name="Normal 392 3 4" xfId="29915" xr:uid="{00000000-0005-0000-0000-0000DB740000}"/>
    <cellStyle name="Normal 392 3 4 2" xfId="29916" xr:uid="{00000000-0005-0000-0000-0000DC740000}"/>
    <cellStyle name="Normal 392 3 4 2 2" xfId="29917" xr:uid="{00000000-0005-0000-0000-0000DD740000}"/>
    <cellStyle name="Normal 392 3 4 3" xfId="29918" xr:uid="{00000000-0005-0000-0000-0000DE740000}"/>
    <cellStyle name="Normal 392 3 5" xfId="29919" xr:uid="{00000000-0005-0000-0000-0000DF740000}"/>
    <cellStyle name="Normal 392 3 5 2" xfId="29920" xr:uid="{00000000-0005-0000-0000-0000E0740000}"/>
    <cellStyle name="Normal 392 3 5 2 2" xfId="29921" xr:uid="{00000000-0005-0000-0000-0000E1740000}"/>
    <cellStyle name="Normal 392 3 5 3" xfId="29922" xr:uid="{00000000-0005-0000-0000-0000E2740000}"/>
    <cellStyle name="Normal 392 3 6" xfId="29923" xr:uid="{00000000-0005-0000-0000-0000E3740000}"/>
    <cellStyle name="Normal 392 4" xfId="29924" xr:uid="{00000000-0005-0000-0000-0000E4740000}"/>
    <cellStyle name="Normal 392 4 2" xfId="29925" xr:uid="{00000000-0005-0000-0000-0000E5740000}"/>
    <cellStyle name="Normal 392 4 2 2" xfId="29926" xr:uid="{00000000-0005-0000-0000-0000E6740000}"/>
    <cellStyle name="Normal 392 4 3" xfId="29927" xr:uid="{00000000-0005-0000-0000-0000E7740000}"/>
    <cellStyle name="Normal 392 5" xfId="29928" xr:uid="{00000000-0005-0000-0000-0000E8740000}"/>
    <cellStyle name="Normal 392 5 2" xfId="29929" xr:uid="{00000000-0005-0000-0000-0000E9740000}"/>
    <cellStyle name="Normal 392 5 2 2" xfId="29930" xr:uid="{00000000-0005-0000-0000-0000EA740000}"/>
    <cellStyle name="Normal 392 5 3" xfId="29931" xr:uid="{00000000-0005-0000-0000-0000EB740000}"/>
    <cellStyle name="Normal 392 6" xfId="29932" xr:uid="{00000000-0005-0000-0000-0000EC740000}"/>
    <cellStyle name="Normal 392 6 2" xfId="29933" xr:uid="{00000000-0005-0000-0000-0000ED740000}"/>
    <cellStyle name="Normal 392 6 2 2" xfId="29934" xr:uid="{00000000-0005-0000-0000-0000EE740000}"/>
    <cellStyle name="Normal 392 6 3" xfId="29935" xr:uid="{00000000-0005-0000-0000-0000EF740000}"/>
    <cellStyle name="Normal 392 7" xfId="29936" xr:uid="{00000000-0005-0000-0000-0000F0740000}"/>
    <cellStyle name="Normal 393" xfId="29937" xr:uid="{00000000-0005-0000-0000-0000F1740000}"/>
    <cellStyle name="Normal 393 2" xfId="29938" xr:uid="{00000000-0005-0000-0000-0000F2740000}"/>
    <cellStyle name="Normal 393 2 2" xfId="29939" xr:uid="{00000000-0005-0000-0000-0000F3740000}"/>
    <cellStyle name="Normal 393 2 2 2" xfId="29940" xr:uid="{00000000-0005-0000-0000-0000F4740000}"/>
    <cellStyle name="Normal 393 2 3" xfId="29941" xr:uid="{00000000-0005-0000-0000-0000F5740000}"/>
    <cellStyle name="Normal 393 2 3 2" xfId="29942" xr:uid="{00000000-0005-0000-0000-0000F6740000}"/>
    <cellStyle name="Normal 393 2 3 2 2" xfId="29943" xr:uid="{00000000-0005-0000-0000-0000F7740000}"/>
    <cellStyle name="Normal 393 2 3 3" xfId="29944" xr:uid="{00000000-0005-0000-0000-0000F8740000}"/>
    <cellStyle name="Normal 393 2 4" xfId="29945" xr:uid="{00000000-0005-0000-0000-0000F9740000}"/>
    <cellStyle name="Normal 393 2 4 2" xfId="29946" xr:uid="{00000000-0005-0000-0000-0000FA740000}"/>
    <cellStyle name="Normal 393 2 4 2 2" xfId="29947" xr:uid="{00000000-0005-0000-0000-0000FB740000}"/>
    <cellStyle name="Normal 393 2 4 3" xfId="29948" xr:uid="{00000000-0005-0000-0000-0000FC740000}"/>
    <cellStyle name="Normal 393 2 5" xfId="29949" xr:uid="{00000000-0005-0000-0000-0000FD740000}"/>
    <cellStyle name="Normal 393 3" xfId="29950" xr:uid="{00000000-0005-0000-0000-0000FE740000}"/>
    <cellStyle name="Normal 393 3 2" xfId="29951" xr:uid="{00000000-0005-0000-0000-0000FF740000}"/>
    <cellStyle name="Normal 393 3 2 2" xfId="29952" xr:uid="{00000000-0005-0000-0000-000000750000}"/>
    <cellStyle name="Normal 393 3 2 2 2" xfId="29953" xr:uid="{00000000-0005-0000-0000-000001750000}"/>
    <cellStyle name="Normal 393 3 2 3" xfId="29954" xr:uid="{00000000-0005-0000-0000-000002750000}"/>
    <cellStyle name="Normal 393 3 2 3 2" xfId="29955" xr:uid="{00000000-0005-0000-0000-000003750000}"/>
    <cellStyle name="Normal 393 3 2 3 2 2" xfId="29956" xr:uid="{00000000-0005-0000-0000-000004750000}"/>
    <cellStyle name="Normal 393 3 2 3 3" xfId="29957" xr:uid="{00000000-0005-0000-0000-000005750000}"/>
    <cellStyle name="Normal 393 3 2 4" xfId="29958" xr:uid="{00000000-0005-0000-0000-000006750000}"/>
    <cellStyle name="Normal 393 3 3" xfId="29959" xr:uid="{00000000-0005-0000-0000-000007750000}"/>
    <cellStyle name="Normal 393 3 3 2" xfId="29960" xr:uid="{00000000-0005-0000-0000-000008750000}"/>
    <cellStyle name="Normal 393 3 3 2 2" xfId="29961" xr:uid="{00000000-0005-0000-0000-000009750000}"/>
    <cellStyle name="Normal 393 3 3 3" xfId="29962" xr:uid="{00000000-0005-0000-0000-00000A750000}"/>
    <cellStyle name="Normal 393 3 4" xfId="29963" xr:uid="{00000000-0005-0000-0000-00000B750000}"/>
    <cellStyle name="Normal 393 3 4 2" xfId="29964" xr:uid="{00000000-0005-0000-0000-00000C750000}"/>
    <cellStyle name="Normal 393 3 4 2 2" xfId="29965" xr:uid="{00000000-0005-0000-0000-00000D750000}"/>
    <cellStyle name="Normal 393 3 4 3" xfId="29966" xr:uid="{00000000-0005-0000-0000-00000E750000}"/>
    <cellStyle name="Normal 393 3 5" xfId="29967" xr:uid="{00000000-0005-0000-0000-00000F750000}"/>
    <cellStyle name="Normal 393 3 5 2" xfId="29968" xr:uid="{00000000-0005-0000-0000-000010750000}"/>
    <cellStyle name="Normal 393 3 5 2 2" xfId="29969" xr:uid="{00000000-0005-0000-0000-000011750000}"/>
    <cellStyle name="Normal 393 3 5 3" xfId="29970" xr:uid="{00000000-0005-0000-0000-000012750000}"/>
    <cellStyle name="Normal 393 3 6" xfId="29971" xr:uid="{00000000-0005-0000-0000-000013750000}"/>
    <cellStyle name="Normal 393 4" xfId="29972" xr:uid="{00000000-0005-0000-0000-000014750000}"/>
    <cellStyle name="Normal 393 4 2" xfId="29973" xr:uid="{00000000-0005-0000-0000-000015750000}"/>
    <cellStyle name="Normal 393 4 2 2" xfId="29974" xr:uid="{00000000-0005-0000-0000-000016750000}"/>
    <cellStyle name="Normal 393 4 3" xfId="29975" xr:uid="{00000000-0005-0000-0000-000017750000}"/>
    <cellStyle name="Normal 393 5" xfId="29976" xr:uid="{00000000-0005-0000-0000-000018750000}"/>
    <cellStyle name="Normal 393 5 2" xfId="29977" xr:uid="{00000000-0005-0000-0000-000019750000}"/>
    <cellStyle name="Normal 393 5 2 2" xfId="29978" xr:uid="{00000000-0005-0000-0000-00001A750000}"/>
    <cellStyle name="Normal 393 5 3" xfId="29979" xr:uid="{00000000-0005-0000-0000-00001B750000}"/>
    <cellStyle name="Normal 393 6" xfId="29980" xr:uid="{00000000-0005-0000-0000-00001C750000}"/>
    <cellStyle name="Normal 393 6 2" xfId="29981" xr:uid="{00000000-0005-0000-0000-00001D750000}"/>
    <cellStyle name="Normal 393 6 2 2" xfId="29982" xr:uid="{00000000-0005-0000-0000-00001E750000}"/>
    <cellStyle name="Normal 393 6 3" xfId="29983" xr:uid="{00000000-0005-0000-0000-00001F750000}"/>
    <cellStyle name="Normal 393 7" xfId="29984" xr:uid="{00000000-0005-0000-0000-000020750000}"/>
    <cellStyle name="Normal 394" xfId="29985" xr:uid="{00000000-0005-0000-0000-000021750000}"/>
    <cellStyle name="Normal 394 2" xfId="29986" xr:uid="{00000000-0005-0000-0000-000022750000}"/>
    <cellStyle name="Normal 394 2 2" xfId="29987" xr:uid="{00000000-0005-0000-0000-000023750000}"/>
    <cellStyle name="Normal 394 2 2 2" xfId="29988" xr:uid="{00000000-0005-0000-0000-000024750000}"/>
    <cellStyle name="Normal 394 2 3" xfId="29989" xr:uid="{00000000-0005-0000-0000-000025750000}"/>
    <cellStyle name="Normal 394 2 3 2" xfId="29990" xr:uid="{00000000-0005-0000-0000-000026750000}"/>
    <cellStyle name="Normal 394 2 3 2 2" xfId="29991" xr:uid="{00000000-0005-0000-0000-000027750000}"/>
    <cellStyle name="Normal 394 2 3 3" xfId="29992" xr:uid="{00000000-0005-0000-0000-000028750000}"/>
    <cellStyle name="Normal 394 2 4" xfId="29993" xr:uid="{00000000-0005-0000-0000-000029750000}"/>
    <cellStyle name="Normal 394 2 4 2" xfId="29994" xr:uid="{00000000-0005-0000-0000-00002A750000}"/>
    <cellStyle name="Normal 394 2 4 2 2" xfId="29995" xr:uid="{00000000-0005-0000-0000-00002B750000}"/>
    <cellStyle name="Normal 394 2 4 3" xfId="29996" xr:uid="{00000000-0005-0000-0000-00002C750000}"/>
    <cellStyle name="Normal 394 2 5" xfId="29997" xr:uid="{00000000-0005-0000-0000-00002D750000}"/>
    <cellStyle name="Normal 394 3" xfId="29998" xr:uid="{00000000-0005-0000-0000-00002E750000}"/>
    <cellStyle name="Normal 394 3 2" xfId="29999" xr:uid="{00000000-0005-0000-0000-00002F750000}"/>
    <cellStyle name="Normal 394 3 2 2" xfId="30000" xr:uid="{00000000-0005-0000-0000-000030750000}"/>
    <cellStyle name="Normal 394 3 2 2 2" xfId="30001" xr:uid="{00000000-0005-0000-0000-000031750000}"/>
    <cellStyle name="Normal 394 3 2 3" xfId="30002" xr:uid="{00000000-0005-0000-0000-000032750000}"/>
    <cellStyle name="Normal 394 3 2 3 2" xfId="30003" xr:uid="{00000000-0005-0000-0000-000033750000}"/>
    <cellStyle name="Normal 394 3 2 3 2 2" xfId="30004" xr:uid="{00000000-0005-0000-0000-000034750000}"/>
    <cellStyle name="Normal 394 3 2 3 3" xfId="30005" xr:uid="{00000000-0005-0000-0000-000035750000}"/>
    <cellStyle name="Normal 394 3 2 4" xfId="30006" xr:uid="{00000000-0005-0000-0000-000036750000}"/>
    <cellStyle name="Normal 394 3 3" xfId="30007" xr:uid="{00000000-0005-0000-0000-000037750000}"/>
    <cellStyle name="Normal 394 3 3 2" xfId="30008" xr:uid="{00000000-0005-0000-0000-000038750000}"/>
    <cellStyle name="Normal 394 3 3 2 2" xfId="30009" xr:uid="{00000000-0005-0000-0000-000039750000}"/>
    <cellStyle name="Normal 394 3 3 3" xfId="30010" xr:uid="{00000000-0005-0000-0000-00003A750000}"/>
    <cellStyle name="Normal 394 3 4" xfId="30011" xr:uid="{00000000-0005-0000-0000-00003B750000}"/>
    <cellStyle name="Normal 394 3 4 2" xfId="30012" xr:uid="{00000000-0005-0000-0000-00003C750000}"/>
    <cellStyle name="Normal 394 3 4 2 2" xfId="30013" xr:uid="{00000000-0005-0000-0000-00003D750000}"/>
    <cellStyle name="Normal 394 3 4 3" xfId="30014" xr:uid="{00000000-0005-0000-0000-00003E750000}"/>
    <cellStyle name="Normal 394 3 5" xfId="30015" xr:uid="{00000000-0005-0000-0000-00003F750000}"/>
    <cellStyle name="Normal 394 3 5 2" xfId="30016" xr:uid="{00000000-0005-0000-0000-000040750000}"/>
    <cellStyle name="Normal 394 3 5 2 2" xfId="30017" xr:uid="{00000000-0005-0000-0000-000041750000}"/>
    <cellStyle name="Normal 394 3 5 3" xfId="30018" xr:uid="{00000000-0005-0000-0000-000042750000}"/>
    <cellStyle name="Normal 394 3 6" xfId="30019" xr:uid="{00000000-0005-0000-0000-000043750000}"/>
    <cellStyle name="Normal 394 4" xfId="30020" xr:uid="{00000000-0005-0000-0000-000044750000}"/>
    <cellStyle name="Normal 394 4 2" xfId="30021" xr:uid="{00000000-0005-0000-0000-000045750000}"/>
    <cellStyle name="Normal 394 4 2 2" xfId="30022" xr:uid="{00000000-0005-0000-0000-000046750000}"/>
    <cellStyle name="Normal 394 4 3" xfId="30023" xr:uid="{00000000-0005-0000-0000-000047750000}"/>
    <cellStyle name="Normal 394 5" xfId="30024" xr:uid="{00000000-0005-0000-0000-000048750000}"/>
    <cellStyle name="Normal 394 5 2" xfId="30025" xr:uid="{00000000-0005-0000-0000-000049750000}"/>
    <cellStyle name="Normal 394 5 2 2" xfId="30026" xr:uid="{00000000-0005-0000-0000-00004A750000}"/>
    <cellStyle name="Normal 394 5 3" xfId="30027" xr:uid="{00000000-0005-0000-0000-00004B750000}"/>
    <cellStyle name="Normal 394 6" xfId="30028" xr:uid="{00000000-0005-0000-0000-00004C750000}"/>
    <cellStyle name="Normal 394 6 2" xfId="30029" xr:uid="{00000000-0005-0000-0000-00004D750000}"/>
    <cellStyle name="Normal 394 6 2 2" xfId="30030" xr:uid="{00000000-0005-0000-0000-00004E750000}"/>
    <cellStyle name="Normal 394 6 3" xfId="30031" xr:uid="{00000000-0005-0000-0000-00004F750000}"/>
    <cellStyle name="Normal 394 7" xfId="30032" xr:uid="{00000000-0005-0000-0000-000050750000}"/>
    <cellStyle name="Normal 395" xfId="30033" xr:uid="{00000000-0005-0000-0000-000051750000}"/>
    <cellStyle name="Normal 395 2" xfId="30034" xr:uid="{00000000-0005-0000-0000-000052750000}"/>
    <cellStyle name="Normal 395 2 2" xfId="30035" xr:uid="{00000000-0005-0000-0000-000053750000}"/>
    <cellStyle name="Normal 395 2 2 2" xfId="30036" xr:uid="{00000000-0005-0000-0000-000054750000}"/>
    <cellStyle name="Normal 395 2 3" xfId="30037" xr:uid="{00000000-0005-0000-0000-000055750000}"/>
    <cellStyle name="Normal 395 2 3 2" xfId="30038" xr:uid="{00000000-0005-0000-0000-000056750000}"/>
    <cellStyle name="Normal 395 2 3 2 2" xfId="30039" xr:uid="{00000000-0005-0000-0000-000057750000}"/>
    <cellStyle name="Normal 395 2 3 3" xfId="30040" xr:uid="{00000000-0005-0000-0000-000058750000}"/>
    <cellStyle name="Normal 395 2 4" xfId="30041" xr:uid="{00000000-0005-0000-0000-000059750000}"/>
    <cellStyle name="Normal 395 2 4 2" xfId="30042" xr:uid="{00000000-0005-0000-0000-00005A750000}"/>
    <cellStyle name="Normal 395 2 4 2 2" xfId="30043" xr:uid="{00000000-0005-0000-0000-00005B750000}"/>
    <cellStyle name="Normal 395 2 4 3" xfId="30044" xr:uid="{00000000-0005-0000-0000-00005C750000}"/>
    <cellStyle name="Normal 395 2 5" xfId="30045" xr:uid="{00000000-0005-0000-0000-00005D750000}"/>
    <cellStyle name="Normal 395 3" xfId="30046" xr:uid="{00000000-0005-0000-0000-00005E750000}"/>
    <cellStyle name="Normal 395 3 2" xfId="30047" xr:uid="{00000000-0005-0000-0000-00005F750000}"/>
    <cellStyle name="Normal 395 3 2 2" xfId="30048" xr:uid="{00000000-0005-0000-0000-000060750000}"/>
    <cellStyle name="Normal 395 3 2 2 2" xfId="30049" xr:uid="{00000000-0005-0000-0000-000061750000}"/>
    <cellStyle name="Normal 395 3 2 3" xfId="30050" xr:uid="{00000000-0005-0000-0000-000062750000}"/>
    <cellStyle name="Normal 395 3 2 3 2" xfId="30051" xr:uid="{00000000-0005-0000-0000-000063750000}"/>
    <cellStyle name="Normal 395 3 2 3 2 2" xfId="30052" xr:uid="{00000000-0005-0000-0000-000064750000}"/>
    <cellStyle name="Normal 395 3 2 3 3" xfId="30053" xr:uid="{00000000-0005-0000-0000-000065750000}"/>
    <cellStyle name="Normal 395 3 2 4" xfId="30054" xr:uid="{00000000-0005-0000-0000-000066750000}"/>
    <cellStyle name="Normal 395 3 3" xfId="30055" xr:uid="{00000000-0005-0000-0000-000067750000}"/>
    <cellStyle name="Normal 395 3 3 2" xfId="30056" xr:uid="{00000000-0005-0000-0000-000068750000}"/>
    <cellStyle name="Normal 395 3 3 2 2" xfId="30057" xr:uid="{00000000-0005-0000-0000-000069750000}"/>
    <cellStyle name="Normal 395 3 3 3" xfId="30058" xr:uid="{00000000-0005-0000-0000-00006A750000}"/>
    <cellStyle name="Normal 395 3 4" xfId="30059" xr:uid="{00000000-0005-0000-0000-00006B750000}"/>
    <cellStyle name="Normal 395 3 4 2" xfId="30060" xr:uid="{00000000-0005-0000-0000-00006C750000}"/>
    <cellStyle name="Normal 395 3 4 2 2" xfId="30061" xr:uid="{00000000-0005-0000-0000-00006D750000}"/>
    <cellStyle name="Normal 395 3 4 3" xfId="30062" xr:uid="{00000000-0005-0000-0000-00006E750000}"/>
    <cellStyle name="Normal 395 3 5" xfId="30063" xr:uid="{00000000-0005-0000-0000-00006F750000}"/>
    <cellStyle name="Normal 395 3 5 2" xfId="30064" xr:uid="{00000000-0005-0000-0000-000070750000}"/>
    <cellStyle name="Normal 395 3 5 2 2" xfId="30065" xr:uid="{00000000-0005-0000-0000-000071750000}"/>
    <cellStyle name="Normal 395 3 5 3" xfId="30066" xr:uid="{00000000-0005-0000-0000-000072750000}"/>
    <cellStyle name="Normal 395 3 6" xfId="30067" xr:uid="{00000000-0005-0000-0000-000073750000}"/>
    <cellStyle name="Normal 395 4" xfId="30068" xr:uid="{00000000-0005-0000-0000-000074750000}"/>
    <cellStyle name="Normal 395 4 2" xfId="30069" xr:uid="{00000000-0005-0000-0000-000075750000}"/>
    <cellStyle name="Normal 395 4 2 2" xfId="30070" xr:uid="{00000000-0005-0000-0000-000076750000}"/>
    <cellStyle name="Normal 395 4 3" xfId="30071" xr:uid="{00000000-0005-0000-0000-000077750000}"/>
    <cellStyle name="Normal 395 5" xfId="30072" xr:uid="{00000000-0005-0000-0000-000078750000}"/>
    <cellStyle name="Normal 395 5 2" xfId="30073" xr:uid="{00000000-0005-0000-0000-000079750000}"/>
    <cellStyle name="Normal 395 5 2 2" xfId="30074" xr:uid="{00000000-0005-0000-0000-00007A750000}"/>
    <cellStyle name="Normal 395 5 3" xfId="30075" xr:uid="{00000000-0005-0000-0000-00007B750000}"/>
    <cellStyle name="Normal 395 6" xfId="30076" xr:uid="{00000000-0005-0000-0000-00007C750000}"/>
    <cellStyle name="Normal 395 6 2" xfId="30077" xr:uid="{00000000-0005-0000-0000-00007D750000}"/>
    <cellStyle name="Normal 395 6 2 2" xfId="30078" xr:uid="{00000000-0005-0000-0000-00007E750000}"/>
    <cellStyle name="Normal 395 6 3" xfId="30079" xr:uid="{00000000-0005-0000-0000-00007F750000}"/>
    <cellStyle name="Normal 395 7" xfId="30080" xr:uid="{00000000-0005-0000-0000-000080750000}"/>
    <cellStyle name="Normal 396" xfId="30081" xr:uid="{00000000-0005-0000-0000-000081750000}"/>
    <cellStyle name="Normal 396 2" xfId="30082" xr:uid="{00000000-0005-0000-0000-000082750000}"/>
    <cellStyle name="Normal 396 2 2" xfId="30083" xr:uid="{00000000-0005-0000-0000-000083750000}"/>
    <cellStyle name="Normal 396 2 2 2" xfId="30084" xr:uid="{00000000-0005-0000-0000-000084750000}"/>
    <cellStyle name="Normal 396 2 3" xfId="30085" xr:uid="{00000000-0005-0000-0000-000085750000}"/>
    <cellStyle name="Normal 396 2 3 2" xfId="30086" xr:uid="{00000000-0005-0000-0000-000086750000}"/>
    <cellStyle name="Normal 396 2 3 2 2" xfId="30087" xr:uid="{00000000-0005-0000-0000-000087750000}"/>
    <cellStyle name="Normal 396 2 3 3" xfId="30088" xr:uid="{00000000-0005-0000-0000-000088750000}"/>
    <cellStyle name="Normal 396 2 4" xfId="30089" xr:uid="{00000000-0005-0000-0000-000089750000}"/>
    <cellStyle name="Normal 396 2 4 2" xfId="30090" xr:uid="{00000000-0005-0000-0000-00008A750000}"/>
    <cellStyle name="Normal 396 2 4 2 2" xfId="30091" xr:uid="{00000000-0005-0000-0000-00008B750000}"/>
    <cellStyle name="Normal 396 2 4 3" xfId="30092" xr:uid="{00000000-0005-0000-0000-00008C750000}"/>
    <cellStyle name="Normal 396 2 5" xfId="30093" xr:uid="{00000000-0005-0000-0000-00008D750000}"/>
    <cellStyle name="Normal 396 3" xfId="30094" xr:uid="{00000000-0005-0000-0000-00008E750000}"/>
    <cellStyle name="Normal 396 3 2" xfId="30095" xr:uid="{00000000-0005-0000-0000-00008F750000}"/>
    <cellStyle name="Normal 396 3 2 2" xfId="30096" xr:uid="{00000000-0005-0000-0000-000090750000}"/>
    <cellStyle name="Normal 396 3 2 2 2" xfId="30097" xr:uid="{00000000-0005-0000-0000-000091750000}"/>
    <cellStyle name="Normal 396 3 2 3" xfId="30098" xr:uid="{00000000-0005-0000-0000-000092750000}"/>
    <cellStyle name="Normal 396 3 2 3 2" xfId="30099" xr:uid="{00000000-0005-0000-0000-000093750000}"/>
    <cellStyle name="Normal 396 3 2 3 2 2" xfId="30100" xr:uid="{00000000-0005-0000-0000-000094750000}"/>
    <cellStyle name="Normal 396 3 2 3 3" xfId="30101" xr:uid="{00000000-0005-0000-0000-000095750000}"/>
    <cellStyle name="Normal 396 3 2 4" xfId="30102" xr:uid="{00000000-0005-0000-0000-000096750000}"/>
    <cellStyle name="Normal 396 3 3" xfId="30103" xr:uid="{00000000-0005-0000-0000-000097750000}"/>
    <cellStyle name="Normal 396 3 3 2" xfId="30104" xr:uid="{00000000-0005-0000-0000-000098750000}"/>
    <cellStyle name="Normal 396 3 3 2 2" xfId="30105" xr:uid="{00000000-0005-0000-0000-000099750000}"/>
    <cellStyle name="Normal 396 3 3 3" xfId="30106" xr:uid="{00000000-0005-0000-0000-00009A750000}"/>
    <cellStyle name="Normal 396 3 4" xfId="30107" xr:uid="{00000000-0005-0000-0000-00009B750000}"/>
    <cellStyle name="Normal 396 3 4 2" xfId="30108" xr:uid="{00000000-0005-0000-0000-00009C750000}"/>
    <cellStyle name="Normal 396 3 4 2 2" xfId="30109" xr:uid="{00000000-0005-0000-0000-00009D750000}"/>
    <cellStyle name="Normal 396 3 4 3" xfId="30110" xr:uid="{00000000-0005-0000-0000-00009E750000}"/>
    <cellStyle name="Normal 396 3 5" xfId="30111" xr:uid="{00000000-0005-0000-0000-00009F750000}"/>
    <cellStyle name="Normal 396 3 5 2" xfId="30112" xr:uid="{00000000-0005-0000-0000-0000A0750000}"/>
    <cellStyle name="Normal 396 3 5 2 2" xfId="30113" xr:uid="{00000000-0005-0000-0000-0000A1750000}"/>
    <cellStyle name="Normal 396 3 5 3" xfId="30114" xr:uid="{00000000-0005-0000-0000-0000A2750000}"/>
    <cellStyle name="Normal 396 3 6" xfId="30115" xr:uid="{00000000-0005-0000-0000-0000A3750000}"/>
    <cellStyle name="Normal 396 4" xfId="30116" xr:uid="{00000000-0005-0000-0000-0000A4750000}"/>
    <cellStyle name="Normal 396 4 2" xfId="30117" xr:uid="{00000000-0005-0000-0000-0000A5750000}"/>
    <cellStyle name="Normal 396 4 2 2" xfId="30118" xr:uid="{00000000-0005-0000-0000-0000A6750000}"/>
    <cellStyle name="Normal 396 4 3" xfId="30119" xr:uid="{00000000-0005-0000-0000-0000A7750000}"/>
    <cellStyle name="Normal 396 5" xfId="30120" xr:uid="{00000000-0005-0000-0000-0000A8750000}"/>
    <cellStyle name="Normal 396 5 2" xfId="30121" xr:uid="{00000000-0005-0000-0000-0000A9750000}"/>
    <cellStyle name="Normal 396 5 2 2" xfId="30122" xr:uid="{00000000-0005-0000-0000-0000AA750000}"/>
    <cellStyle name="Normal 396 5 3" xfId="30123" xr:uid="{00000000-0005-0000-0000-0000AB750000}"/>
    <cellStyle name="Normal 396 6" xfId="30124" xr:uid="{00000000-0005-0000-0000-0000AC750000}"/>
    <cellStyle name="Normal 396 6 2" xfId="30125" xr:uid="{00000000-0005-0000-0000-0000AD750000}"/>
    <cellStyle name="Normal 396 6 2 2" xfId="30126" xr:uid="{00000000-0005-0000-0000-0000AE750000}"/>
    <cellStyle name="Normal 396 6 3" xfId="30127" xr:uid="{00000000-0005-0000-0000-0000AF750000}"/>
    <cellStyle name="Normal 396 7" xfId="30128" xr:uid="{00000000-0005-0000-0000-0000B0750000}"/>
    <cellStyle name="Normal 397" xfId="30129" xr:uid="{00000000-0005-0000-0000-0000B1750000}"/>
    <cellStyle name="Normal 397 2" xfId="30130" xr:uid="{00000000-0005-0000-0000-0000B2750000}"/>
    <cellStyle name="Normal 397 2 2" xfId="30131" xr:uid="{00000000-0005-0000-0000-0000B3750000}"/>
    <cellStyle name="Normal 397 2 2 2" xfId="30132" xr:uid="{00000000-0005-0000-0000-0000B4750000}"/>
    <cellStyle name="Normal 397 2 3" xfId="30133" xr:uid="{00000000-0005-0000-0000-0000B5750000}"/>
    <cellStyle name="Normal 397 2 3 2" xfId="30134" xr:uid="{00000000-0005-0000-0000-0000B6750000}"/>
    <cellStyle name="Normal 397 2 3 2 2" xfId="30135" xr:uid="{00000000-0005-0000-0000-0000B7750000}"/>
    <cellStyle name="Normal 397 2 3 3" xfId="30136" xr:uid="{00000000-0005-0000-0000-0000B8750000}"/>
    <cellStyle name="Normal 397 2 4" xfId="30137" xr:uid="{00000000-0005-0000-0000-0000B9750000}"/>
    <cellStyle name="Normal 397 2 4 2" xfId="30138" xr:uid="{00000000-0005-0000-0000-0000BA750000}"/>
    <cellStyle name="Normal 397 2 4 2 2" xfId="30139" xr:uid="{00000000-0005-0000-0000-0000BB750000}"/>
    <cellStyle name="Normal 397 2 4 3" xfId="30140" xr:uid="{00000000-0005-0000-0000-0000BC750000}"/>
    <cellStyle name="Normal 397 2 5" xfId="30141" xr:uid="{00000000-0005-0000-0000-0000BD750000}"/>
    <cellStyle name="Normal 397 3" xfId="30142" xr:uid="{00000000-0005-0000-0000-0000BE750000}"/>
    <cellStyle name="Normal 397 3 2" xfId="30143" xr:uid="{00000000-0005-0000-0000-0000BF750000}"/>
    <cellStyle name="Normal 397 3 2 2" xfId="30144" xr:uid="{00000000-0005-0000-0000-0000C0750000}"/>
    <cellStyle name="Normal 397 3 2 2 2" xfId="30145" xr:uid="{00000000-0005-0000-0000-0000C1750000}"/>
    <cellStyle name="Normal 397 3 2 3" xfId="30146" xr:uid="{00000000-0005-0000-0000-0000C2750000}"/>
    <cellStyle name="Normal 397 3 2 3 2" xfId="30147" xr:uid="{00000000-0005-0000-0000-0000C3750000}"/>
    <cellStyle name="Normal 397 3 2 3 2 2" xfId="30148" xr:uid="{00000000-0005-0000-0000-0000C4750000}"/>
    <cellStyle name="Normal 397 3 2 3 3" xfId="30149" xr:uid="{00000000-0005-0000-0000-0000C5750000}"/>
    <cellStyle name="Normal 397 3 2 4" xfId="30150" xr:uid="{00000000-0005-0000-0000-0000C6750000}"/>
    <cellStyle name="Normal 397 3 3" xfId="30151" xr:uid="{00000000-0005-0000-0000-0000C7750000}"/>
    <cellStyle name="Normal 397 3 3 2" xfId="30152" xr:uid="{00000000-0005-0000-0000-0000C8750000}"/>
    <cellStyle name="Normal 397 3 3 2 2" xfId="30153" xr:uid="{00000000-0005-0000-0000-0000C9750000}"/>
    <cellStyle name="Normal 397 3 3 3" xfId="30154" xr:uid="{00000000-0005-0000-0000-0000CA750000}"/>
    <cellStyle name="Normal 397 3 4" xfId="30155" xr:uid="{00000000-0005-0000-0000-0000CB750000}"/>
    <cellStyle name="Normal 397 3 4 2" xfId="30156" xr:uid="{00000000-0005-0000-0000-0000CC750000}"/>
    <cellStyle name="Normal 397 3 4 2 2" xfId="30157" xr:uid="{00000000-0005-0000-0000-0000CD750000}"/>
    <cellStyle name="Normal 397 3 4 3" xfId="30158" xr:uid="{00000000-0005-0000-0000-0000CE750000}"/>
    <cellStyle name="Normal 397 3 5" xfId="30159" xr:uid="{00000000-0005-0000-0000-0000CF750000}"/>
    <cellStyle name="Normal 397 3 5 2" xfId="30160" xr:uid="{00000000-0005-0000-0000-0000D0750000}"/>
    <cellStyle name="Normal 397 3 5 2 2" xfId="30161" xr:uid="{00000000-0005-0000-0000-0000D1750000}"/>
    <cellStyle name="Normal 397 3 5 3" xfId="30162" xr:uid="{00000000-0005-0000-0000-0000D2750000}"/>
    <cellStyle name="Normal 397 3 6" xfId="30163" xr:uid="{00000000-0005-0000-0000-0000D3750000}"/>
    <cellStyle name="Normal 397 4" xfId="30164" xr:uid="{00000000-0005-0000-0000-0000D4750000}"/>
    <cellStyle name="Normal 397 4 2" xfId="30165" xr:uid="{00000000-0005-0000-0000-0000D5750000}"/>
    <cellStyle name="Normal 397 4 2 2" xfId="30166" xr:uid="{00000000-0005-0000-0000-0000D6750000}"/>
    <cellStyle name="Normal 397 4 3" xfId="30167" xr:uid="{00000000-0005-0000-0000-0000D7750000}"/>
    <cellStyle name="Normal 397 5" xfId="30168" xr:uid="{00000000-0005-0000-0000-0000D8750000}"/>
    <cellStyle name="Normal 397 5 2" xfId="30169" xr:uid="{00000000-0005-0000-0000-0000D9750000}"/>
    <cellStyle name="Normal 397 5 2 2" xfId="30170" xr:uid="{00000000-0005-0000-0000-0000DA750000}"/>
    <cellStyle name="Normal 397 5 3" xfId="30171" xr:uid="{00000000-0005-0000-0000-0000DB750000}"/>
    <cellStyle name="Normal 397 6" xfId="30172" xr:uid="{00000000-0005-0000-0000-0000DC750000}"/>
    <cellStyle name="Normal 397 6 2" xfId="30173" xr:uid="{00000000-0005-0000-0000-0000DD750000}"/>
    <cellStyle name="Normal 397 6 2 2" xfId="30174" xr:uid="{00000000-0005-0000-0000-0000DE750000}"/>
    <cellStyle name="Normal 397 6 3" xfId="30175" xr:uid="{00000000-0005-0000-0000-0000DF750000}"/>
    <cellStyle name="Normal 397 7" xfId="30176" xr:uid="{00000000-0005-0000-0000-0000E0750000}"/>
    <cellStyle name="Normal 398" xfId="30177" xr:uid="{00000000-0005-0000-0000-0000E1750000}"/>
    <cellStyle name="Normal 398 2" xfId="30178" xr:uid="{00000000-0005-0000-0000-0000E2750000}"/>
    <cellStyle name="Normal 398 2 2" xfId="30179" xr:uid="{00000000-0005-0000-0000-0000E3750000}"/>
    <cellStyle name="Normal 398 2 2 2" xfId="30180" xr:uid="{00000000-0005-0000-0000-0000E4750000}"/>
    <cellStyle name="Normal 398 2 3" xfId="30181" xr:uid="{00000000-0005-0000-0000-0000E5750000}"/>
    <cellStyle name="Normal 398 2 3 2" xfId="30182" xr:uid="{00000000-0005-0000-0000-0000E6750000}"/>
    <cellStyle name="Normal 398 2 3 2 2" xfId="30183" xr:uid="{00000000-0005-0000-0000-0000E7750000}"/>
    <cellStyle name="Normal 398 2 3 3" xfId="30184" xr:uid="{00000000-0005-0000-0000-0000E8750000}"/>
    <cellStyle name="Normal 398 2 4" xfId="30185" xr:uid="{00000000-0005-0000-0000-0000E9750000}"/>
    <cellStyle name="Normal 398 2 4 2" xfId="30186" xr:uid="{00000000-0005-0000-0000-0000EA750000}"/>
    <cellStyle name="Normal 398 2 4 2 2" xfId="30187" xr:uid="{00000000-0005-0000-0000-0000EB750000}"/>
    <cellStyle name="Normal 398 2 4 3" xfId="30188" xr:uid="{00000000-0005-0000-0000-0000EC750000}"/>
    <cellStyle name="Normal 398 2 5" xfId="30189" xr:uid="{00000000-0005-0000-0000-0000ED750000}"/>
    <cellStyle name="Normal 398 3" xfId="30190" xr:uid="{00000000-0005-0000-0000-0000EE750000}"/>
    <cellStyle name="Normal 398 3 2" xfId="30191" xr:uid="{00000000-0005-0000-0000-0000EF750000}"/>
    <cellStyle name="Normal 398 3 2 2" xfId="30192" xr:uid="{00000000-0005-0000-0000-0000F0750000}"/>
    <cellStyle name="Normal 398 3 2 2 2" xfId="30193" xr:uid="{00000000-0005-0000-0000-0000F1750000}"/>
    <cellStyle name="Normal 398 3 2 3" xfId="30194" xr:uid="{00000000-0005-0000-0000-0000F2750000}"/>
    <cellStyle name="Normal 398 3 2 3 2" xfId="30195" xr:uid="{00000000-0005-0000-0000-0000F3750000}"/>
    <cellStyle name="Normal 398 3 2 3 2 2" xfId="30196" xr:uid="{00000000-0005-0000-0000-0000F4750000}"/>
    <cellStyle name="Normal 398 3 2 3 3" xfId="30197" xr:uid="{00000000-0005-0000-0000-0000F5750000}"/>
    <cellStyle name="Normal 398 3 2 4" xfId="30198" xr:uid="{00000000-0005-0000-0000-0000F6750000}"/>
    <cellStyle name="Normal 398 3 3" xfId="30199" xr:uid="{00000000-0005-0000-0000-0000F7750000}"/>
    <cellStyle name="Normal 398 3 3 2" xfId="30200" xr:uid="{00000000-0005-0000-0000-0000F8750000}"/>
    <cellStyle name="Normal 398 3 3 2 2" xfId="30201" xr:uid="{00000000-0005-0000-0000-0000F9750000}"/>
    <cellStyle name="Normal 398 3 3 3" xfId="30202" xr:uid="{00000000-0005-0000-0000-0000FA750000}"/>
    <cellStyle name="Normal 398 3 4" xfId="30203" xr:uid="{00000000-0005-0000-0000-0000FB750000}"/>
    <cellStyle name="Normal 398 3 4 2" xfId="30204" xr:uid="{00000000-0005-0000-0000-0000FC750000}"/>
    <cellStyle name="Normal 398 3 4 2 2" xfId="30205" xr:uid="{00000000-0005-0000-0000-0000FD750000}"/>
    <cellStyle name="Normal 398 3 4 3" xfId="30206" xr:uid="{00000000-0005-0000-0000-0000FE750000}"/>
    <cellStyle name="Normal 398 3 5" xfId="30207" xr:uid="{00000000-0005-0000-0000-0000FF750000}"/>
    <cellStyle name="Normal 398 3 5 2" xfId="30208" xr:uid="{00000000-0005-0000-0000-000000760000}"/>
    <cellStyle name="Normal 398 3 5 2 2" xfId="30209" xr:uid="{00000000-0005-0000-0000-000001760000}"/>
    <cellStyle name="Normal 398 3 5 3" xfId="30210" xr:uid="{00000000-0005-0000-0000-000002760000}"/>
    <cellStyle name="Normal 398 3 6" xfId="30211" xr:uid="{00000000-0005-0000-0000-000003760000}"/>
    <cellStyle name="Normal 398 4" xfId="30212" xr:uid="{00000000-0005-0000-0000-000004760000}"/>
    <cellStyle name="Normal 398 4 2" xfId="30213" xr:uid="{00000000-0005-0000-0000-000005760000}"/>
    <cellStyle name="Normal 398 4 2 2" xfId="30214" xr:uid="{00000000-0005-0000-0000-000006760000}"/>
    <cellStyle name="Normal 398 4 3" xfId="30215" xr:uid="{00000000-0005-0000-0000-000007760000}"/>
    <cellStyle name="Normal 398 5" xfId="30216" xr:uid="{00000000-0005-0000-0000-000008760000}"/>
    <cellStyle name="Normal 398 5 2" xfId="30217" xr:uid="{00000000-0005-0000-0000-000009760000}"/>
    <cellStyle name="Normal 398 5 2 2" xfId="30218" xr:uid="{00000000-0005-0000-0000-00000A760000}"/>
    <cellStyle name="Normal 398 5 3" xfId="30219" xr:uid="{00000000-0005-0000-0000-00000B760000}"/>
    <cellStyle name="Normal 398 6" xfId="30220" xr:uid="{00000000-0005-0000-0000-00000C760000}"/>
    <cellStyle name="Normal 398 6 2" xfId="30221" xr:uid="{00000000-0005-0000-0000-00000D760000}"/>
    <cellStyle name="Normal 398 6 2 2" xfId="30222" xr:uid="{00000000-0005-0000-0000-00000E760000}"/>
    <cellStyle name="Normal 398 6 3" xfId="30223" xr:uid="{00000000-0005-0000-0000-00000F760000}"/>
    <cellStyle name="Normal 398 7" xfId="30224" xr:uid="{00000000-0005-0000-0000-000010760000}"/>
    <cellStyle name="Normal 399" xfId="30225" xr:uid="{00000000-0005-0000-0000-000011760000}"/>
    <cellStyle name="Normal 399 2" xfId="30226" xr:uid="{00000000-0005-0000-0000-000012760000}"/>
    <cellStyle name="Normal 399 2 2" xfId="30227" xr:uid="{00000000-0005-0000-0000-000013760000}"/>
    <cellStyle name="Normal 399 2 2 2" xfId="30228" xr:uid="{00000000-0005-0000-0000-000014760000}"/>
    <cellStyle name="Normal 399 2 3" xfId="30229" xr:uid="{00000000-0005-0000-0000-000015760000}"/>
    <cellStyle name="Normal 399 2 3 2" xfId="30230" xr:uid="{00000000-0005-0000-0000-000016760000}"/>
    <cellStyle name="Normal 399 2 3 2 2" xfId="30231" xr:uid="{00000000-0005-0000-0000-000017760000}"/>
    <cellStyle name="Normal 399 2 3 3" xfId="30232" xr:uid="{00000000-0005-0000-0000-000018760000}"/>
    <cellStyle name="Normal 399 2 4" xfId="30233" xr:uid="{00000000-0005-0000-0000-000019760000}"/>
    <cellStyle name="Normal 399 2 4 2" xfId="30234" xr:uid="{00000000-0005-0000-0000-00001A760000}"/>
    <cellStyle name="Normal 399 2 4 2 2" xfId="30235" xr:uid="{00000000-0005-0000-0000-00001B760000}"/>
    <cellStyle name="Normal 399 2 4 3" xfId="30236" xr:uid="{00000000-0005-0000-0000-00001C760000}"/>
    <cellStyle name="Normal 399 2 5" xfId="30237" xr:uid="{00000000-0005-0000-0000-00001D760000}"/>
    <cellStyle name="Normal 399 3" xfId="30238" xr:uid="{00000000-0005-0000-0000-00001E760000}"/>
    <cellStyle name="Normal 399 3 2" xfId="30239" xr:uid="{00000000-0005-0000-0000-00001F760000}"/>
    <cellStyle name="Normal 399 3 2 2" xfId="30240" xr:uid="{00000000-0005-0000-0000-000020760000}"/>
    <cellStyle name="Normal 399 3 2 2 2" xfId="30241" xr:uid="{00000000-0005-0000-0000-000021760000}"/>
    <cellStyle name="Normal 399 3 2 3" xfId="30242" xr:uid="{00000000-0005-0000-0000-000022760000}"/>
    <cellStyle name="Normal 399 3 2 3 2" xfId="30243" xr:uid="{00000000-0005-0000-0000-000023760000}"/>
    <cellStyle name="Normal 399 3 2 3 2 2" xfId="30244" xr:uid="{00000000-0005-0000-0000-000024760000}"/>
    <cellStyle name="Normal 399 3 2 3 3" xfId="30245" xr:uid="{00000000-0005-0000-0000-000025760000}"/>
    <cellStyle name="Normal 399 3 2 4" xfId="30246" xr:uid="{00000000-0005-0000-0000-000026760000}"/>
    <cellStyle name="Normal 399 3 3" xfId="30247" xr:uid="{00000000-0005-0000-0000-000027760000}"/>
    <cellStyle name="Normal 399 3 3 2" xfId="30248" xr:uid="{00000000-0005-0000-0000-000028760000}"/>
    <cellStyle name="Normal 399 3 3 2 2" xfId="30249" xr:uid="{00000000-0005-0000-0000-000029760000}"/>
    <cellStyle name="Normal 399 3 3 3" xfId="30250" xr:uid="{00000000-0005-0000-0000-00002A760000}"/>
    <cellStyle name="Normal 399 3 4" xfId="30251" xr:uid="{00000000-0005-0000-0000-00002B760000}"/>
    <cellStyle name="Normal 399 3 4 2" xfId="30252" xr:uid="{00000000-0005-0000-0000-00002C760000}"/>
    <cellStyle name="Normal 399 3 4 2 2" xfId="30253" xr:uid="{00000000-0005-0000-0000-00002D760000}"/>
    <cellStyle name="Normal 399 3 4 3" xfId="30254" xr:uid="{00000000-0005-0000-0000-00002E760000}"/>
    <cellStyle name="Normal 399 3 5" xfId="30255" xr:uid="{00000000-0005-0000-0000-00002F760000}"/>
    <cellStyle name="Normal 399 3 5 2" xfId="30256" xr:uid="{00000000-0005-0000-0000-000030760000}"/>
    <cellStyle name="Normal 399 3 5 2 2" xfId="30257" xr:uid="{00000000-0005-0000-0000-000031760000}"/>
    <cellStyle name="Normal 399 3 5 3" xfId="30258" xr:uid="{00000000-0005-0000-0000-000032760000}"/>
    <cellStyle name="Normal 399 3 6" xfId="30259" xr:uid="{00000000-0005-0000-0000-000033760000}"/>
    <cellStyle name="Normal 399 4" xfId="30260" xr:uid="{00000000-0005-0000-0000-000034760000}"/>
    <cellStyle name="Normal 399 4 2" xfId="30261" xr:uid="{00000000-0005-0000-0000-000035760000}"/>
    <cellStyle name="Normal 399 4 2 2" xfId="30262" xr:uid="{00000000-0005-0000-0000-000036760000}"/>
    <cellStyle name="Normal 399 4 3" xfId="30263" xr:uid="{00000000-0005-0000-0000-000037760000}"/>
    <cellStyle name="Normal 399 5" xfId="30264" xr:uid="{00000000-0005-0000-0000-000038760000}"/>
    <cellStyle name="Normal 399 5 2" xfId="30265" xr:uid="{00000000-0005-0000-0000-000039760000}"/>
    <cellStyle name="Normal 399 5 2 2" xfId="30266" xr:uid="{00000000-0005-0000-0000-00003A760000}"/>
    <cellStyle name="Normal 399 5 3" xfId="30267" xr:uid="{00000000-0005-0000-0000-00003B760000}"/>
    <cellStyle name="Normal 399 6" xfId="30268" xr:uid="{00000000-0005-0000-0000-00003C760000}"/>
    <cellStyle name="Normal 399 6 2" xfId="30269" xr:uid="{00000000-0005-0000-0000-00003D760000}"/>
    <cellStyle name="Normal 399 6 2 2" xfId="30270" xr:uid="{00000000-0005-0000-0000-00003E760000}"/>
    <cellStyle name="Normal 399 6 3" xfId="30271" xr:uid="{00000000-0005-0000-0000-00003F760000}"/>
    <cellStyle name="Normal 399 7" xfId="30272" xr:uid="{00000000-0005-0000-0000-000040760000}"/>
    <cellStyle name="Normal 4" xfId="30273" xr:uid="{00000000-0005-0000-0000-000041760000}"/>
    <cellStyle name="Normal 4 10" xfId="30274" xr:uid="{00000000-0005-0000-0000-000042760000}"/>
    <cellStyle name="Normal 4 10 2" xfId="30275" xr:uid="{00000000-0005-0000-0000-000043760000}"/>
    <cellStyle name="Normal 4 11" xfId="30276" xr:uid="{00000000-0005-0000-0000-000044760000}"/>
    <cellStyle name="Normal 4 12" xfId="30277" xr:uid="{00000000-0005-0000-0000-000045760000}"/>
    <cellStyle name="Normal 4 2" xfId="30278" xr:uid="{00000000-0005-0000-0000-000046760000}"/>
    <cellStyle name="Normal 4 2 2" xfId="30279" xr:uid="{00000000-0005-0000-0000-000047760000}"/>
    <cellStyle name="Normal 4 2 2 2" xfId="30280" xr:uid="{00000000-0005-0000-0000-000048760000}"/>
    <cellStyle name="Normal 4 2 2 2 2" xfId="30281" xr:uid="{00000000-0005-0000-0000-000049760000}"/>
    <cellStyle name="Normal 4 2 2 3" xfId="30282" xr:uid="{00000000-0005-0000-0000-00004A760000}"/>
    <cellStyle name="Normal 4 2 2 3 2" xfId="30283" xr:uid="{00000000-0005-0000-0000-00004B760000}"/>
    <cellStyle name="Normal 4 2 2 3 2 2" xfId="30284" xr:uid="{00000000-0005-0000-0000-00004C760000}"/>
    <cellStyle name="Normal 4 2 2 3 3" xfId="30285" xr:uid="{00000000-0005-0000-0000-00004D760000}"/>
    <cellStyle name="Normal 4 2 2 4" xfId="30286" xr:uid="{00000000-0005-0000-0000-00004E760000}"/>
    <cellStyle name="Normal 4 2 2 4 2" xfId="30287" xr:uid="{00000000-0005-0000-0000-00004F760000}"/>
    <cellStyle name="Normal 4 2 2 4 2 2" xfId="30288" xr:uid="{00000000-0005-0000-0000-000050760000}"/>
    <cellStyle name="Normal 4 2 2 4 3" xfId="30289" xr:uid="{00000000-0005-0000-0000-000051760000}"/>
    <cellStyle name="Normal 4 2 2 5" xfId="30290" xr:uid="{00000000-0005-0000-0000-000052760000}"/>
    <cellStyle name="Normal 4 2 3" xfId="30291" xr:uid="{00000000-0005-0000-0000-000053760000}"/>
    <cellStyle name="Normal 4 2 3 2" xfId="30292" xr:uid="{00000000-0005-0000-0000-000054760000}"/>
    <cellStyle name="Normal 4 2 3 2 2" xfId="30293" xr:uid="{00000000-0005-0000-0000-000055760000}"/>
    <cellStyle name="Normal 4 2 3 2 2 2" xfId="30294" xr:uid="{00000000-0005-0000-0000-000056760000}"/>
    <cellStyle name="Normal 4 2 3 2 3" xfId="30295" xr:uid="{00000000-0005-0000-0000-000057760000}"/>
    <cellStyle name="Normal 4 2 3 2 3 2" xfId="30296" xr:uid="{00000000-0005-0000-0000-000058760000}"/>
    <cellStyle name="Normal 4 2 3 2 3 2 2" xfId="30297" xr:uid="{00000000-0005-0000-0000-000059760000}"/>
    <cellStyle name="Normal 4 2 3 2 3 3" xfId="30298" xr:uid="{00000000-0005-0000-0000-00005A760000}"/>
    <cellStyle name="Normal 4 2 3 2 4" xfId="30299" xr:uid="{00000000-0005-0000-0000-00005B760000}"/>
    <cellStyle name="Normal 4 2 3 3" xfId="30300" xr:uid="{00000000-0005-0000-0000-00005C760000}"/>
    <cellStyle name="Normal 4 2 3 3 2" xfId="30301" xr:uid="{00000000-0005-0000-0000-00005D760000}"/>
    <cellStyle name="Normal 4 2 3 3 2 2" xfId="30302" xr:uid="{00000000-0005-0000-0000-00005E760000}"/>
    <cellStyle name="Normal 4 2 3 3 3" xfId="30303" xr:uid="{00000000-0005-0000-0000-00005F760000}"/>
    <cellStyle name="Normal 4 2 3 4" xfId="30304" xr:uid="{00000000-0005-0000-0000-000060760000}"/>
    <cellStyle name="Normal 4 2 3 4 2" xfId="30305" xr:uid="{00000000-0005-0000-0000-000061760000}"/>
    <cellStyle name="Normal 4 2 3 4 2 2" xfId="30306" xr:uid="{00000000-0005-0000-0000-000062760000}"/>
    <cellStyle name="Normal 4 2 3 4 3" xfId="30307" xr:uid="{00000000-0005-0000-0000-000063760000}"/>
    <cellStyle name="Normal 4 2 3 5" xfId="30308" xr:uid="{00000000-0005-0000-0000-000064760000}"/>
    <cellStyle name="Normal 4 2 3 5 2" xfId="30309" xr:uid="{00000000-0005-0000-0000-000065760000}"/>
    <cellStyle name="Normal 4 2 3 5 2 2" xfId="30310" xr:uid="{00000000-0005-0000-0000-000066760000}"/>
    <cellStyle name="Normal 4 2 3 5 3" xfId="30311" xr:uid="{00000000-0005-0000-0000-000067760000}"/>
    <cellStyle name="Normal 4 2 3 6" xfId="30312" xr:uid="{00000000-0005-0000-0000-000068760000}"/>
    <cellStyle name="Normal 4 2 4" xfId="30313" xr:uid="{00000000-0005-0000-0000-000069760000}"/>
    <cellStyle name="Normal 4 2 4 2" xfId="30314" xr:uid="{00000000-0005-0000-0000-00006A760000}"/>
    <cellStyle name="Normal 4 2 4 2 2" xfId="30315" xr:uid="{00000000-0005-0000-0000-00006B760000}"/>
    <cellStyle name="Normal 4 2 4 3" xfId="30316" xr:uid="{00000000-0005-0000-0000-00006C760000}"/>
    <cellStyle name="Normal 4 2 5" xfId="30317" xr:uid="{00000000-0005-0000-0000-00006D760000}"/>
    <cellStyle name="Normal 4 2 5 2" xfId="30318" xr:uid="{00000000-0005-0000-0000-00006E760000}"/>
    <cellStyle name="Normal 4 2 5 2 2" xfId="30319" xr:uid="{00000000-0005-0000-0000-00006F760000}"/>
    <cellStyle name="Normal 4 2 5 3" xfId="30320" xr:uid="{00000000-0005-0000-0000-000070760000}"/>
    <cellStyle name="Normal 4 2 6" xfId="30321" xr:uid="{00000000-0005-0000-0000-000071760000}"/>
    <cellStyle name="Normal 4 2 6 2" xfId="30322" xr:uid="{00000000-0005-0000-0000-000072760000}"/>
    <cellStyle name="Normal 4 2 6 2 2" xfId="30323" xr:uid="{00000000-0005-0000-0000-000073760000}"/>
    <cellStyle name="Normal 4 2 6 3" xfId="30324" xr:uid="{00000000-0005-0000-0000-000074760000}"/>
    <cellStyle name="Normal 4 2 7" xfId="30325" xr:uid="{00000000-0005-0000-0000-000075760000}"/>
    <cellStyle name="Normal 4 2 7 2" xfId="30326" xr:uid="{00000000-0005-0000-0000-000076760000}"/>
    <cellStyle name="Normal 4 2 8" xfId="30327" xr:uid="{00000000-0005-0000-0000-000077760000}"/>
    <cellStyle name="Normal 4 3" xfId="30328" xr:uid="{00000000-0005-0000-0000-000078760000}"/>
    <cellStyle name="Normal 4 3 2" xfId="30329" xr:uid="{00000000-0005-0000-0000-000079760000}"/>
    <cellStyle name="Normal 4 3 2 2" xfId="30330" xr:uid="{00000000-0005-0000-0000-00007A760000}"/>
    <cellStyle name="Normal 4 3 2 2 2" xfId="30331" xr:uid="{00000000-0005-0000-0000-00007B760000}"/>
    <cellStyle name="Normal 4 3 2 3" xfId="30332" xr:uid="{00000000-0005-0000-0000-00007C760000}"/>
    <cellStyle name="Normal 4 3 2 3 2" xfId="30333" xr:uid="{00000000-0005-0000-0000-00007D760000}"/>
    <cellStyle name="Normal 4 3 2 3 2 2" xfId="30334" xr:uid="{00000000-0005-0000-0000-00007E760000}"/>
    <cellStyle name="Normal 4 3 2 3 3" xfId="30335" xr:uid="{00000000-0005-0000-0000-00007F760000}"/>
    <cellStyle name="Normal 4 3 2 4" xfId="30336" xr:uid="{00000000-0005-0000-0000-000080760000}"/>
    <cellStyle name="Normal 4 3 2 4 2" xfId="30337" xr:uid="{00000000-0005-0000-0000-000081760000}"/>
    <cellStyle name="Normal 4 3 2 4 2 2" xfId="30338" xr:uid="{00000000-0005-0000-0000-000082760000}"/>
    <cellStyle name="Normal 4 3 2 4 3" xfId="30339" xr:uid="{00000000-0005-0000-0000-000083760000}"/>
    <cellStyle name="Normal 4 3 2 5" xfId="30340" xr:uid="{00000000-0005-0000-0000-000084760000}"/>
    <cellStyle name="Normal 4 3 3" xfId="30341" xr:uid="{00000000-0005-0000-0000-000085760000}"/>
    <cellStyle name="Normal 4 3 3 2" xfId="30342" xr:uid="{00000000-0005-0000-0000-000086760000}"/>
    <cellStyle name="Normal 4 3 3 2 2" xfId="30343" xr:uid="{00000000-0005-0000-0000-000087760000}"/>
    <cellStyle name="Normal 4 3 3 3" xfId="30344" xr:uid="{00000000-0005-0000-0000-000088760000}"/>
    <cellStyle name="Normal 4 3 4" xfId="30345" xr:uid="{00000000-0005-0000-0000-000089760000}"/>
    <cellStyle name="Normal 4 3 4 2" xfId="30346" xr:uid="{00000000-0005-0000-0000-00008A760000}"/>
    <cellStyle name="Normal 4 3 4 2 2" xfId="30347" xr:uid="{00000000-0005-0000-0000-00008B760000}"/>
    <cellStyle name="Normal 4 3 4 3" xfId="30348" xr:uid="{00000000-0005-0000-0000-00008C760000}"/>
    <cellStyle name="Normal 4 3 5" xfId="30349" xr:uid="{00000000-0005-0000-0000-00008D760000}"/>
    <cellStyle name="Normal 4 3 5 2" xfId="30350" xr:uid="{00000000-0005-0000-0000-00008E760000}"/>
    <cellStyle name="Normal 4 3 5 2 2" xfId="30351" xr:uid="{00000000-0005-0000-0000-00008F760000}"/>
    <cellStyle name="Normal 4 3 5 3" xfId="30352" xr:uid="{00000000-0005-0000-0000-000090760000}"/>
    <cellStyle name="Normal 4 3 6" xfId="30353" xr:uid="{00000000-0005-0000-0000-000091760000}"/>
    <cellStyle name="Normal 4 4" xfId="30354" xr:uid="{00000000-0005-0000-0000-000092760000}"/>
    <cellStyle name="Normal 4 4 2" xfId="30355" xr:uid="{00000000-0005-0000-0000-000093760000}"/>
    <cellStyle name="Normal 4 4 2 2" xfId="30356" xr:uid="{00000000-0005-0000-0000-000094760000}"/>
    <cellStyle name="Normal 4 4 2 2 2" xfId="30357" xr:uid="{00000000-0005-0000-0000-000095760000}"/>
    <cellStyle name="Normal 4 4 2 3" xfId="30358" xr:uid="{00000000-0005-0000-0000-000096760000}"/>
    <cellStyle name="Normal 4 4 2 3 2" xfId="30359" xr:uid="{00000000-0005-0000-0000-000097760000}"/>
    <cellStyle name="Normal 4 4 2 3 2 2" xfId="30360" xr:uid="{00000000-0005-0000-0000-000098760000}"/>
    <cellStyle name="Normal 4 4 2 3 3" xfId="30361" xr:uid="{00000000-0005-0000-0000-000099760000}"/>
    <cellStyle name="Normal 4 4 2 4" xfId="30362" xr:uid="{00000000-0005-0000-0000-00009A760000}"/>
    <cellStyle name="Normal 4 4 2 4 2" xfId="30363" xr:uid="{00000000-0005-0000-0000-00009B760000}"/>
    <cellStyle name="Normal 4 4 2 4 2 2" xfId="30364" xr:uid="{00000000-0005-0000-0000-00009C760000}"/>
    <cellStyle name="Normal 4 4 2 4 3" xfId="30365" xr:uid="{00000000-0005-0000-0000-00009D760000}"/>
    <cellStyle name="Normal 4 4 2 5" xfId="30366" xr:uid="{00000000-0005-0000-0000-00009E760000}"/>
    <cellStyle name="Normal 4 4 3" xfId="30367" xr:uid="{00000000-0005-0000-0000-00009F760000}"/>
    <cellStyle name="Normal 4 4 3 2" xfId="30368" xr:uid="{00000000-0005-0000-0000-0000A0760000}"/>
    <cellStyle name="Normal 4 4 3 2 2" xfId="30369" xr:uid="{00000000-0005-0000-0000-0000A1760000}"/>
    <cellStyle name="Normal 4 4 3 3" xfId="30370" xr:uid="{00000000-0005-0000-0000-0000A2760000}"/>
    <cellStyle name="Normal 4 4 4" xfId="30371" xr:uid="{00000000-0005-0000-0000-0000A3760000}"/>
    <cellStyle name="Normal 4 4 4 2" xfId="30372" xr:uid="{00000000-0005-0000-0000-0000A4760000}"/>
    <cellStyle name="Normal 4 4 4 2 2" xfId="30373" xr:uid="{00000000-0005-0000-0000-0000A5760000}"/>
    <cellStyle name="Normal 4 4 4 3" xfId="30374" xr:uid="{00000000-0005-0000-0000-0000A6760000}"/>
    <cellStyle name="Normal 4 4 5" xfId="30375" xr:uid="{00000000-0005-0000-0000-0000A7760000}"/>
    <cellStyle name="Normal 4 4 5 2" xfId="30376" xr:uid="{00000000-0005-0000-0000-0000A8760000}"/>
    <cellStyle name="Normal 4 4 5 2 2" xfId="30377" xr:uid="{00000000-0005-0000-0000-0000A9760000}"/>
    <cellStyle name="Normal 4 4 5 3" xfId="30378" xr:uid="{00000000-0005-0000-0000-0000AA760000}"/>
    <cellStyle name="Normal 4 4 6" xfId="30379" xr:uid="{00000000-0005-0000-0000-0000AB760000}"/>
    <cellStyle name="Normal 4 5" xfId="30380" xr:uid="{00000000-0005-0000-0000-0000AC760000}"/>
    <cellStyle name="Normal 4 5 2" xfId="30381" xr:uid="{00000000-0005-0000-0000-0000AD760000}"/>
    <cellStyle name="Normal 4 5 2 2" xfId="30382" xr:uid="{00000000-0005-0000-0000-0000AE760000}"/>
    <cellStyle name="Normal 4 5 3" xfId="30383" xr:uid="{00000000-0005-0000-0000-0000AF760000}"/>
    <cellStyle name="Normal 4 5 3 2" xfId="30384" xr:uid="{00000000-0005-0000-0000-0000B0760000}"/>
    <cellStyle name="Normal 4 5 3 2 2" xfId="30385" xr:uid="{00000000-0005-0000-0000-0000B1760000}"/>
    <cellStyle name="Normal 4 5 3 3" xfId="30386" xr:uid="{00000000-0005-0000-0000-0000B2760000}"/>
    <cellStyle name="Normal 4 5 4" xfId="30387" xr:uid="{00000000-0005-0000-0000-0000B3760000}"/>
    <cellStyle name="Normal 4 5 4 2" xfId="30388" xr:uid="{00000000-0005-0000-0000-0000B4760000}"/>
    <cellStyle name="Normal 4 5 4 2 2" xfId="30389" xr:uid="{00000000-0005-0000-0000-0000B5760000}"/>
    <cellStyle name="Normal 4 5 4 3" xfId="30390" xr:uid="{00000000-0005-0000-0000-0000B6760000}"/>
    <cellStyle name="Normal 4 5 5" xfId="30391" xr:uid="{00000000-0005-0000-0000-0000B7760000}"/>
    <cellStyle name="Normal 4 6" xfId="30392" xr:uid="{00000000-0005-0000-0000-0000B8760000}"/>
    <cellStyle name="Normal 4 6 2" xfId="30393" xr:uid="{00000000-0005-0000-0000-0000B9760000}"/>
    <cellStyle name="Normal 4 6 2 2" xfId="30394" xr:uid="{00000000-0005-0000-0000-0000BA760000}"/>
    <cellStyle name="Normal 4 6 3" xfId="30395" xr:uid="{00000000-0005-0000-0000-0000BB760000}"/>
    <cellStyle name="Normal 4 6 3 2" xfId="30396" xr:uid="{00000000-0005-0000-0000-0000BC760000}"/>
    <cellStyle name="Normal 4 6 3 2 2" xfId="30397" xr:uid="{00000000-0005-0000-0000-0000BD760000}"/>
    <cellStyle name="Normal 4 6 3 3" xfId="30398" xr:uid="{00000000-0005-0000-0000-0000BE760000}"/>
    <cellStyle name="Normal 4 6 4" xfId="30399" xr:uid="{00000000-0005-0000-0000-0000BF760000}"/>
    <cellStyle name="Normal 4 6 4 2" xfId="30400" xr:uid="{00000000-0005-0000-0000-0000C0760000}"/>
    <cellStyle name="Normal 4 6 4 2 2" xfId="30401" xr:uid="{00000000-0005-0000-0000-0000C1760000}"/>
    <cellStyle name="Normal 4 6 4 3" xfId="30402" xr:uid="{00000000-0005-0000-0000-0000C2760000}"/>
    <cellStyle name="Normal 4 6 5" xfId="30403" xr:uid="{00000000-0005-0000-0000-0000C3760000}"/>
    <cellStyle name="Normal 4 7" xfId="30404" xr:uid="{00000000-0005-0000-0000-0000C4760000}"/>
    <cellStyle name="Normal 4 7 2" xfId="30405" xr:uid="{00000000-0005-0000-0000-0000C5760000}"/>
    <cellStyle name="Normal 4 7 2 2" xfId="30406" xr:uid="{00000000-0005-0000-0000-0000C6760000}"/>
    <cellStyle name="Normal 4 7 3" xfId="30407" xr:uid="{00000000-0005-0000-0000-0000C7760000}"/>
    <cellStyle name="Normal 4 8" xfId="30408" xr:uid="{00000000-0005-0000-0000-0000C8760000}"/>
    <cellStyle name="Normal 4 8 2" xfId="30409" xr:uid="{00000000-0005-0000-0000-0000C9760000}"/>
    <cellStyle name="Normal 4 8 2 2" xfId="30410" xr:uid="{00000000-0005-0000-0000-0000CA760000}"/>
    <cellStyle name="Normal 4 8 3" xfId="30411" xr:uid="{00000000-0005-0000-0000-0000CB760000}"/>
    <cellStyle name="Normal 4 9" xfId="30412" xr:uid="{00000000-0005-0000-0000-0000CC760000}"/>
    <cellStyle name="Normal 4 9 2" xfId="30413" xr:uid="{00000000-0005-0000-0000-0000CD760000}"/>
    <cellStyle name="Normal 4 9 2 2" xfId="30414" xr:uid="{00000000-0005-0000-0000-0000CE760000}"/>
    <cellStyle name="Normal 4 9 3" xfId="30415" xr:uid="{00000000-0005-0000-0000-0000CF760000}"/>
    <cellStyle name="Normal 40" xfId="30416" xr:uid="{00000000-0005-0000-0000-0000D0760000}"/>
    <cellStyle name="Normal 40 2" xfId="30417" xr:uid="{00000000-0005-0000-0000-0000D1760000}"/>
    <cellStyle name="Normal 40 2 2" xfId="30418" xr:uid="{00000000-0005-0000-0000-0000D2760000}"/>
    <cellStyle name="Normal 40 2 2 2" xfId="30419" xr:uid="{00000000-0005-0000-0000-0000D3760000}"/>
    <cellStyle name="Normal 40 2 2 2 2" xfId="30420" xr:uid="{00000000-0005-0000-0000-0000D4760000}"/>
    <cellStyle name="Normal 40 2 2 3" xfId="30421" xr:uid="{00000000-0005-0000-0000-0000D5760000}"/>
    <cellStyle name="Normal 40 2 2 3 2" xfId="30422" xr:uid="{00000000-0005-0000-0000-0000D6760000}"/>
    <cellStyle name="Normal 40 2 2 3 2 2" xfId="30423" xr:uid="{00000000-0005-0000-0000-0000D7760000}"/>
    <cellStyle name="Normal 40 2 2 3 3" xfId="30424" xr:uid="{00000000-0005-0000-0000-0000D8760000}"/>
    <cellStyle name="Normal 40 2 2 4" xfId="30425" xr:uid="{00000000-0005-0000-0000-0000D9760000}"/>
    <cellStyle name="Normal 40 2 2 4 2" xfId="30426" xr:uid="{00000000-0005-0000-0000-0000DA760000}"/>
    <cellStyle name="Normal 40 2 2 4 2 2" xfId="30427" xr:uid="{00000000-0005-0000-0000-0000DB760000}"/>
    <cellStyle name="Normal 40 2 2 4 3" xfId="30428" xr:uid="{00000000-0005-0000-0000-0000DC760000}"/>
    <cellStyle name="Normal 40 2 2 5" xfId="30429" xr:uid="{00000000-0005-0000-0000-0000DD760000}"/>
    <cellStyle name="Normal 40 2 3" xfId="30430" xr:uid="{00000000-0005-0000-0000-0000DE760000}"/>
    <cellStyle name="Normal 40 2 3 2" xfId="30431" xr:uid="{00000000-0005-0000-0000-0000DF760000}"/>
    <cellStyle name="Normal 40 2 3 2 2" xfId="30432" xr:uid="{00000000-0005-0000-0000-0000E0760000}"/>
    <cellStyle name="Normal 40 2 3 3" xfId="30433" xr:uid="{00000000-0005-0000-0000-0000E1760000}"/>
    <cellStyle name="Normal 40 2 4" xfId="30434" xr:uid="{00000000-0005-0000-0000-0000E2760000}"/>
    <cellStyle name="Normal 40 2 4 2" xfId="30435" xr:uid="{00000000-0005-0000-0000-0000E3760000}"/>
    <cellStyle name="Normal 40 2 4 2 2" xfId="30436" xr:uid="{00000000-0005-0000-0000-0000E4760000}"/>
    <cellStyle name="Normal 40 2 4 3" xfId="30437" xr:uid="{00000000-0005-0000-0000-0000E5760000}"/>
    <cellStyle name="Normal 40 2 5" xfId="30438" xr:uid="{00000000-0005-0000-0000-0000E6760000}"/>
    <cellStyle name="Normal 40 2 5 2" xfId="30439" xr:uid="{00000000-0005-0000-0000-0000E7760000}"/>
    <cellStyle name="Normal 40 2 5 2 2" xfId="30440" xr:uid="{00000000-0005-0000-0000-0000E8760000}"/>
    <cellStyle name="Normal 40 2 5 3" xfId="30441" xr:uid="{00000000-0005-0000-0000-0000E9760000}"/>
    <cellStyle name="Normal 40 2 6" xfId="30442" xr:uid="{00000000-0005-0000-0000-0000EA760000}"/>
    <cellStyle name="Normal 40 3" xfId="30443" xr:uid="{00000000-0005-0000-0000-0000EB760000}"/>
    <cellStyle name="Normal 40 3 2" xfId="30444" xr:uid="{00000000-0005-0000-0000-0000EC760000}"/>
    <cellStyle name="Normal 40 3 2 2" xfId="30445" xr:uid="{00000000-0005-0000-0000-0000ED760000}"/>
    <cellStyle name="Normal 40 3 3" xfId="30446" xr:uid="{00000000-0005-0000-0000-0000EE760000}"/>
    <cellStyle name="Normal 40 3 3 2" xfId="30447" xr:uid="{00000000-0005-0000-0000-0000EF760000}"/>
    <cellStyle name="Normal 40 3 3 2 2" xfId="30448" xr:uid="{00000000-0005-0000-0000-0000F0760000}"/>
    <cellStyle name="Normal 40 3 3 3" xfId="30449" xr:uid="{00000000-0005-0000-0000-0000F1760000}"/>
    <cellStyle name="Normal 40 3 4" xfId="30450" xr:uid="{00000000-0005-0000-0000-0000F2760000}"/>
    <cellStyle name="Normal 40 3 4 2" xfId="30451" xr:uid="{00000000-0005-0000-0000-0000F3760000}"/>
    <cellStyle name="Normal 40 3 4 2 2" xfId="30452" xr:uid="{00000000-0005-0000-0000-0000F4760000}"/>
    <cellStyle name="Normal 40 3 4 3" xfId="30453" xr:uid="{00000000-0005-0000-0000-0000F5760000}"/>
    <cellStyle name="Normal 40 3 5" xfId="30454" xr:uid="{00000000-0005-0000-0000-0000F6760000}"/>
    <cellStyle name="Normal 40 4" xfId="30455" xr:uid="{00000000-0005-0000-0000-0000F7760000}"/>
    <cellStyle name="Normal 40 4 2" xfId="30456" xr:uid="{00000000-0005-0000-0000-0000F8760000}"/>
    <cellStyle name="Normal 40 4 2 2" xfId="30457" xr:uid="{00000000-0005-0000-0000-0000F9760000}"/>
    <cellStyle name="Normal 40 4 3" xfId="30458" xr:uid="{00000000-0005-0000-0000-0000FA760000}"/>
    <cellStyle name="Normal 40 5" xfId="30459" xr:uid="{00000000-0005-0000-0000-0000FB760000}"/>
    <cellStyle name="Normal 40 5 2" xfId="30460" xr:uid="{00000000-0005-0000-0000-0000FC760000}"/>
    <cellStyle name="Normal 40 5 2 2" xfId="30461" xr:uid="{00000000-0005-0000-0000-0000FD760000}"/>
    <cellStyle name="Normal 40 5 3" xfId="30462" xr:uid="{00000000-0005-0000-0000-0000FE760000}"/>
    <cellStyle name="Normal 40 6" xfId="30463" xr:uid="{00000000-0005-0000-0000-0000FF760000}"/>
    <cellStyle name="Normal 40 6 2" xfId="30464" xr:uid="{00000000-0005-0000-0000-000000770000}"/>
    <cellStyle name="Normal 40 6 2 2" xfId="30465" xr:uid="{00000000-0005-0000-0000-000001770000}"/>
    <cellStyle name="Normal 40 6 3" xfId="30466" xr:uid="{00000000-0005-0000-0000-000002770000}"/>
    <cellStyle name="Normal 40 7" xfId="30467" xr:uid="{00000000-0005-0000-0000-000003770000}"/>
    <cellStyle name="Normal 400" xfId="30468" xr:uid="{00000000-0005-0000-0000-000004770000}"/>
    <cellStyle name="Normal 400 2" xfId="30469" xr:uid="{00000000-0005-0000-0000-000005770000}"/>
    <cellStyle name="Normal 400 2 2" xfId="30470" xr:uid="{00000000-0005-0000-0000-000006770000}"/>
    <cellStyle name="Normal 400 2 2 2" xfId="30471" xr:uid="{00000000-0005-0000-0000-000007770000}"/>
    <cellStyle name="Normal 400 2 3" xfId="30472" xr:uid="{00000000-0005-0000-0000-000008770000}"/>
    <cellStyle name="Normal 400 2 3 2" xfId="30473" xr:uid="{00000000-0005-0000-0000-000009770000}"/>
    <cellStyle name="Normal 400 2 3 2 2" xfId="30474" xr:uid="{00000000-0005-0000-0000-00000A770000}"/>
    <cellStyle name="Normal 400 2 3 3" xfId="30475" xr:uid="{00000000-0005-0000-0000-00000B770000}"/>
    <cellStyle name="Normal 400 2 4" xfId="30476" xr:uid="{00000000-0005-0000-0000-00000C770000}"/>
    <cellStyle name="Normal 400 2 4 2" xfId="30477" xr:uid="{00000000-0005-0000-0000-00000D770000}"/>
    <cellStyle name="Normal 400 2 4 2 2" xfId="30478" xr:uid="{00000000-0005-0000-0000-00000E770000}"/>
    <cellStyle name="Normal 400 2 4 3" xfId="30479" xr:uid="{00000000-0005-0000-0000-00000F770000}"/>
    <cellStyle name="Normal 400 2 5" xfId="30480" xr:uid="{00000000-0005-0000-0000-000010770000}"/>
    <cellStyle name="Normal 400 3" xfId="30481" xr:uid="{00000000-0005-0000-0000-000011770000}"/>
    <cellStyle name="Normal 400 3 2" xfId="30482" xr:uid="{00000000-0005-0000-0000-000012770000}"/>
    <cellStyle name="Normal 400 3 2 2" xfId="30483" xr:uid="{00000000-0005-0000-0000-000013770000}"/>
    <cellStyle name="Normal 400 3 2 2 2" xfId="30484" xr:uid="{00000000-0005-0000-0000-000014770000}"/>
    <cellStyle name="Normal 400 3 2 3" xfId="30485" xr:uid="{00000000-0005-0000-0000-000015770000}"/>
    <cellStyle name="Normal 400 3 2 3 2" xfId="30486" xr:uid="{00000000-0005-0000-0000-000016770000}"/>
    <cellStyle name="Normal 400 3 2 3 2 2" xfId="30487" xr:uid="{00000000-0005-0000-0000-000017770000}"/>
    <cellStyle name="Normal 400 3 2 3 3" xfId="30488" xr:uid="{00000000-0005-0000-0000-000018770000}"/>
    <cellStyle name="Normal 400 3 2 4" xfId="30489" xr:uid="{00000000-0005-0000-0000-000019770000}"/>
    <cellStyle name="Normal 400 3 3" xfId="30490" xr:uid="{00000000-0005-0000-0000-00001A770000}"/>
    <cellStyle name="Normal 400 3 3 2" xfId="30491" xr:uid="{00000000-0005-0000-0000-00001B770000}"/>
    <cellStyle name="Normal 400 3 3 2 2" xfId="30492" xr:uid="{00000000-0005-0000-0000-00001C770000}"/>
    <cellStyle name="Normal 400 3 3 3" xfId="30493" xr:uid="{00000000-0005-0000-0000-00001D770000}"/>
    <cellStyle name="Normal 400 3 4" xfId="30494" xr:uid="{00000000-0005-0000-0000-00001E770000}"/>
    <cellStyle name="Normal 400 3 4 2" xfId="30495" xr:uid="{00000000-0005-0000-0000-00001F770000}"/>
    <cellStyle name="Normal 400 3 4 2 2" xfId="30496" xr:uid="{00000000-0005-0000-0000-000020770000}"/>
    <cellStyle name="Normal 400 3 4 3" xfId="30497" xr:uid="{00000000-0005-0000-0000-000021770000}"/>
    <cellStyle name="Normal 400 3 5" xfId="30498" xr:uid="{00000000-0005-0000-0000-000022770000}"/>
    <cellStyle name="Normal 400 3 5 2" xfId="30499" xr:uid="{00000000-0005-0000-0000-000023770000}"/>
    <cellStyle name="Normal 400 3 5 2 2" xfId="30500" xr:uid="{00000000-0005-0000-0000-000024770000}"/>
    <cellStyle name="Normal 400 3 5 3" xfId="30501" xr:uid="{00000000-0005-0000-0000-000025770000}"/>
    <cellStyle name="Normal 400 3 6" xfId="30502" xr:uid="{00000000-0005-0000-0000-000026770000}"/>
    <cellStyle name="Normal 400 4" xfId="30503" xr:uid="{00000000-0005-0000-0000-000027770000}"/>
    <cellStyle name="Normal 400 4 2" xfId="30504" xr:uid="{00000000-0005-0000-0000-000028770000}"/>
    <cellStyle name="Normal 400 4 2 2" xfId="30505" xr:uid="{00000000-0005-0000-0000-000029770000}"/>
    <cellStyle name="Normal 400 4 3" xfId="30506" xr:uid="{00000000-0005-0000-0000-00002A770000}"/>
    <cellStyle name="Normal 400 5" xfId="30507" xr:uid="{00000000-0005-0000-0000-00002B770000}"/>
    <cellStyle name="Normal 400 5 2" xfId="30508" xr:uid="{00000000-0005-0000-0000-00002C770000}"/>
    <cellStyle name="Normal 400 5 2 2" xfId="30509" xr:uid="{00000000-0005-0000-0000-00002D770000}"/>
    <cellStyle name="Normal 400 5 3" xfId="30510" xr:uid="{00000000-0005-0000-0000-00002E770000}"/>
    <cellStyle name="Normal 400 6" xfId="30511" xr:uid="{00000000-0005-0000-0000-00002F770000}"/>
    <cellStyle name="Normal 400 6 2" xfId="30512" xr:uid="{00000000-0005-0000-0000-000030770000}"/>
    <cellStyle name="Normal 400 6 2 2" xfId="30513" xr:uid="{00000000-0005-0000-0000-000031770000}"/>
    <cellStyle name="Normal 400 6 3" xfId="30514" xr:uid="{00000000-0005-0000-0000-000032770000}"/>
    <cellStyle name="Normal 400 7" xfId="30515" xr:uid="{00000000-0005-0000-0000-000033770000}"/>
    <cellStyle name="Normal 401" xfId="30516" xr:uid="{00000000-0005-0000-0000-000034770000}"/>
    <cellStyle name="Normal 401 2" xfId="30517" xr:uid="{00000000-0005-0000-0000-000035770000}"/>
    <cellStyle name="Normal 401 2 2" xfId="30518" xr:uid="{00000000-0005-0000-0000-000036770000}"/>
    <cellStyle name="Normal 401 2 2 2" xfId="30519" xr:uid="{00000000-0005-0000-0000-000037770000}"/>
    <cellStyle name="Normal 401 2 3" xfId="30520" xr:uid="{00000000-0005-0000-0000-000038770000}"/>
    <cellStyle name="Normal 401 2 3 2" xfId="30521" xr:uid="{00000000-0005-0000-0000-000039770000}"/>
    <cellStyle name="Normal 401 2 3 2 2" xfId="30522" xr:uid="{00000000-0005-0000-0000-00003A770000}"/>
    <cellStyle name="Normal 401 2 3 3" xfId="30523" xr:uid="{00000000-0005-0000-0000-00003B770000}"/>
    <cellStyle name="Normal 401 2 4" xfId="30524" xr:uid="{00000000-0005-0000-0000-00003C770000}"/>
    <cellStyle name="Normal 401 2 4 2" xfId="30525" xr:uid="{00000000-0005-0000-0000-00003D770000}"/>
    <cellStyle name="Normal 401 2 4 2 2" xfId="30526" xr:uid="{00000000-0005-0000-0000-00003E770000}"/>
    <cellStyle name="Normal 401 2 4 3" xfId="30527" xr:uid="{00000000-0005-0000-0000-00003F770000}"/>
    <cellStyle name="Normal 401 2 5" xfId="30528" xr:uid="{00000000-0005-0000-0000-000040770000}"/>
    <cellStyle name="Normal 401 3" xfId="30529" xr:uid="{00000000-0005-0000-0000-000041770000}"/>
    <cellStyle name="Normal 401 3 2" xfId="30530" xr:uid="{00000000-0005-0000-0000-000042770000}"/>
    <cellStyle name="Normal 401 3 2 2" xfId="30531" xr:uid="{00000000-0005-0000-0000-000043770000}"/>
    <cellStyle name="Normal 401 3 2 2 2" xfId="30532" xr:uid="{00000000-0005-0000-0000-000044770000}"/>
    <cellStyle name="Normal 401 3 2 3" xfId="30533" xr:uid="{00000000-0005-0000-0000-000045770000}"/>
    <cellStyle name="Normal 401 3 2 3 2" xfId="30534" xr:uid="{00000000-0005-0000-0000-000046770000}"/>
    <cellStyle name="Normal 401 3 2 3 2 2" xfId="30535" xr:uid="{00000000-0005-0000-0000-000047770000}"/>
    <cellStyle name="Normal 401 3 2 3 3" xfId="30536" xr:uid="{00000000-0005-0000-0000-000048770000}"/>
    <cellStyle name="Normal 401 3 2 4" xfId="30537" xr:uid="{00000000-0005-0000-0000-000049770000}"/>
    <cellStyle name="Normal 401 3 3" xfId="30538" xr:uid="{00000000-0005-0000-0000-00004A770000}"/>
    <cellStyle name="Normal 401 3 3 2" xfId="30539" xr:uid="{00000000-0005-0000-0000-00004B770000}"/>
    <cellStyle name="Normal 401 3 3 2 2" xfId="30540" xr:uid="{00000000-0005-0000-0000-00004C770000}"/>
    <cellStyle name="Normal 401 3 3 3" xfId="30541" xr:uid="{00000000-0005-0000-0000-00004D770000}"/>
    <cellStyle name="Normal 401 3 4" xfId="30542" xr:uid="{00000000-0005-0000-0000-00004E770000}"/>
    <cellStyle name="Normal 401 3 4 2" xfId="30543" xr:uid="{00000000-0005-0000-0000-00004F770000}"/>
    <cellStyle name="Normal 401 3 4 2 2" xfId="30544" xr:uid="{00000000-0005-0000-0000-000050770000}"/>
    <cellStyle name="Normal 401 3 4 3" xfId="30545" xr:uid="{00000000-0005-0000-0000-000051770000}"/>
    <cellStyle name="Normal 401 3 5" xfId="30546" xr:uid="{00000000-0005-0000-0000-000052770000}"/>
    <cellStyle name="Normal 401 3 5 2" xfId="30547" xr:uid="{00000000-0005-0000-0000-000053770000}"/>
    <cellStyle name="Normal 401 3 5 2 2" xfId="30548" xr:uid="{00000000-0005-0000-0000-000054770000}"/>
    <cellStyle name="Normal 401 3 5 3" xfId="30549" xr:uid="{00000000-0005-0000-0000-000055770000}"/>
    <cellStyle name="Normal 401 3 6" xfId="30550" xr:uid="{00000000-0005-0000-0000-000056770000}"/>
    <cellStyle name="Normal 401 4" xfId="30551" xr:uid="{00000000-0005-0000-0000-000057770000}"/>
    <cellStyle name="Normal 401 4 2" xfId="30552" xr:uid="{00000000-0005-0000-0000-000058770000}"/>
    <cellStyle name="Normal 401 4 2 2" xfId="30553" xr:uid="{00000000-0005-0000-0000-000059770000}"/>
    <cellStyle name="Normal 401 4 3" xfId="30554" xr:uid="{00000000-0005-0000-0000-00005A770000}"/>
    <cellStyle name="Normal 401 5" xfId="30555" xr:uid="{00000000-0005-0000-0000-00005B770000}"/>
    <cellStyle name="Normal 401 5 2" xfId="30556" xr:uid="{00000000-0005-0000-0000-00005C770000}"/>
    <cellStyle name="Normal 401 5 2 2" xfId="30557" xr:uid="{00000000-0005-0000-0000-00005D770000}"/>
    <cellStyle name="Normal 401 5 3" xfId="30558" xr:uid="{00000000-0005-0000-0000-00005E770000}"/>
    <cellStyle name="Normal 401 6" xfId="30559" xr:uid="{00000000-0005-0000-0000-00005F770000}"/>
    <cellStyle name="Normal 401 6 2" xfId="30560" xr:uid="{00000000-0005-0000-0000-000060770000}"/>
    <cellStyle name="Normal 401 6 2 2" xfId="30561" xr:uid="{00000000-0005-0000-0000-000061770000}"/>
    <cellStyle name="Normal 401 6 3" xfId="30562" xr:uid="{00000000-0005-0000-0000-000062770000}"/>
    <cellStyle name="Normal 401 7" xfId="30563" xr:uid="{00000000-0005-0000-0000-000063770000}"/>
    <cellStyle name="Normal 402" xfId="30564" xr:uid="{00000000-0005-0000-0000-000064770000}"/>
    <cellStyle name="Normal 402 2" xfId="30565" xr:uid="{00000000-0005-0000-0000-000065770000}"/>
    <cellStyle name="Normal 402 2 2" xfId="30566" xr:uid="{00000000-0005-0000-0000-000066770000}"/>
    <cellStyle name="Normal 402 2 2 2" xfId="30567" xr:uid="{00000000-0005-0000-0000-000067770000}"/>
    <cellStyle name="Normal 402 2 3" xfId="30568" xr:uid="{00000000-0005-0000-0000-000068770000}"/>
    <cellStyle name="Normal 402 2 3 2" xfId="30569" xr:uid="{00000000-0005-0000-0000-000069770000}"/>
    <cellStyle name="Normal 402 2 3 2 2" xfId="30570" xr:uid="{00000000-0005-0000-0000-00006A770000}"/>
    <cellStyle name="Normal 402 2 3 3" xfId="30571" xr:uid="{00000000-0005-0000-0000-00006B770000}"/>
    <cellStyle name="Normal 402 2 4" xfId="30572" xr:uid="{00000000-0005-0000-0000-00006C770000}"/>
    <cellStyle name="Normal 402 2 4 2" xfId="30573" xr:uid="{00000000-0005-0000-0000-00006D770000}"/>
    <cellStyle name="Normal 402 2 4 2 2" xfId="30574" xr:uid="{00000000-0005-0000-0000-00006E770000}"/>
    <cellStyle name="Normal 402 2 4 3" xfId="30575" xr:uid="{00000000-0005-0000-0000-00006F770000}"/>
    <cellStyle name="Normal 402 2 5" xfId="30576" xr:uid="{00000000-0005-0000-0000-000070770000}"/>
    <cellStyle name="Normal 402 3" xfId="30577" xr:uid="{00000000-0005-0000-0000-000071770000}"/>
    <cellStyle name="Normal 402 3 2" xfId="30578" xr:uid="{00000000-0005-0000-0000-000072770000}"/>
    <cellStyle name="Normal 402 3 2 2" xfId="30579" xr:uid="{00000000-0005-0000-0000-000073770000}"/>
    <cellStyle name="Normal 402 3 2 2 2" xfId="30580" xr:uid="{00000000-0005-0000-0000-000074770000}"/>
    <cellStyle name="Normal 402 3 2 3" xfId="30581" xr:uid="{00000000-0005-0000-0000-000075770000}"/>
    <cellStyle name="Normal 402 3 2 3 2" xfId="30582" xr:uid="{00000000-0005-0000-0000-000076770000}"/>
    <cellStyle name="Normal 402 3 2 3 2 2" xfId="30583" xr:uid="{00000000-0005-0000-0000-000077770000}"/>
    <cellStyle name="Normal 402 3 2 3 3" xfId="30584" xr:uid="{00000000-0005-0000-0000-000078770000}"/>
    <cellStyle name="Normal 402 3 2 4" xfId="30585" xr:uid="{00000000-0005-0000-0000-000079770000}"/>
    <cellStyle name="Normal 402 3 3" xfId="30586" xr:uid="{00000000-0005-0000-0000-00007A770000}"/>
    <cellStyle name="Normal 402 3 3 2" xfId="30587" xr:uid="{00000000-0005-0000-0000-00007B770000}"/>
    <cellStyle name="Normal 402 3 3 2 2" xfId="30588" xr:uid="{00000000-0005-0000-0000-00007C770000}"/>
    <cellStyle name="Normal 402 3 3 3" xfId="30589" xr:uid="{00000000-0005-0000-0000-00007D770000}"/>
    <cellStyle name="Normal 402 3 4" xfId="30590" xr:uid="{00000000-0005-0000-0000-00007E770000}"/>
    <cellStyle name="Normal 402 3 4 2" xfId="30591" xr:uid="{00000000-0005-0000-0000-00007F770000}"/>
    <cellStyle name="Normal 402 3 4 2 2" xfId="30592" xr:uid="{00000000-0005-0000-0000-000080770000}"/>
    <cellStyle name="Normal 402 3 4 3" xfId="30593" xr:uid="{00000000-0005-0000-0000-000081770000}"/>
    <cellStyle name="Normal 402 3 5" xfId="30594" xr:uid="{00000000-0005-0000-0000-000082770000}"/>
    <cellStyle name="Normal 402 3 5 2" xfId="30595" xr:uid="{00000000-0005-0000-0000-000083770000}"/>
    <cellStyle name="Normal 402 3 5 2 2" xfId="30596" xr:uid="{00000000-0005-0000-0000-000084770000}"/>
    <cellStyle name="Normal 402 3 5 3" xfId="30597" xr:uid="{00000000-0005-0000-0000-000085770000}"/>
    <cellStyle name="Normal 402 3 6" xfId="30598" xr:uid="{00000000-0005-0000-0000-000086770000}"/>
    <cellStyle name="Normal 402 4" xfId="30599" xr:uid="{00000000-0005-0000-0000-000087770000}"/>
    <cellStyle name="Normal 402 4 2" xfId="30600" xr:uid="{00000000-0005-0000-0000-000088770000}"/>
    <cellStyle name="Normal 402 4 2 2" xfId="30601" xr:uid="{00000000-0005-0000-0000-000089770000}"/>
    <cellStyle name="Normal 402 4 3" xfId="30602" xr:uid="{00000000-0005-0000-0000-00008A770000}"/>
    <cellStyle name="Normal 402 5" xfId="30603" xr:uid="{00000000-0005-0000-0000-00008B770000}"/>
    <cellStyle name="Normal 402 5 2" xfId="30604" xr:uid="{00000000-0005-0000-0000-00008C770000}"/>
    <cellStyle name="Normal 402 5 2 2" xfId="30605" xr:uid="{00000000-0005-0000-0000-00008D770000}"/>
    <cellStyle name="Normal 402 5 3" xfId="30606" xr:uid="{00000000-0005-0000-0000-00008E770000}"/>
    <cellStyle name="Normal 402 6" xfId="30607" xr:uid="{00000000-0005-0000-0000-00008F770000}"/>
    <cellStyle name="Normal 402 6 2" xfId="30608" xr:uid="{00000000-0005-0000-0000-000090770000}"/>
    <cellStyle name="Normal 402 6 2 2" xfId="30609" xr:uid="{00000000-0005-0000-0000-000091770000}"/>
    <cellStyle name="Normal 402 6 3" xfId="30610" xr:uid="{00000000-0005-0000-0000-000092770000}"/>
    <cellStyle name="Normal 402 7" xfId="30611" xr:uid="{00000000-0005-0000-0000-000093770000}"/>
    <cellStyle name="Normal 403" xfId="30612" xr:uid="{00000000-0005-0000-0000-000094770000}"/>
    <cellStyle name="Normal 403 2" xfId="30613" xr:uid="{00000000-0005-0000-0000-000095770000}"/>
    <cellStyle name="Normal 403 2 2" xfId="30614" xr:uid="{00000000-0005-0000-0000-000096770000}"/>
    <cellStyle name="Normal 403 2 2 2" xfId="30615" xr:uid="{00000000-0005-0000-0000-000097770000}"/>
    <cellStyle name="Normal 403 2 3" xfId="30616" xr:uid="{00000000-0005-0000-0000-000098770000}"/>
    <cellStyle name="Normal 403 2 3 2" xfId="30617" xr:uid="{00000000-0005-0000-0000-000099770000}"/>
    <cellStyle name="Normal 403 2 3 2 2" xfId="30618" xr:uid="{00000000-0005-0000-0000-00009A770000}"/>
    <cellStyle name="Normal 403 2 3 3" xfId="30619" xr:uid="{00000000-0005-0000-0000-00009B770000}"/>
    <cellStyle name="Normal 403 2 4" xfId="30620" xr:uid="{00000000-0005-0000-0000-00009C770000}"/>
    <cellStyle name="Normal 403 2 4 2" xfId="30621" xr:uid="{00000000-0005-0000-0000-00009D770000}"/>
    <cellStyle name="Normal 403 2 4 2 2" xfId="30622" xr:uid="{00000000-0005-0000-0000-00009E770000}"/>
    <cellStyle name="Normal 403 2 4 3" xfId="30623" xr:uid="{00000000-0005-0000-0000-00009F770000}"/>
    <cellStyle name="Normal 403 2 5" xfId="30624" xr:uid="{00000000-0005-0000-0000-0000A0770000}"/>
    <cellStyle name="Normal 403 3" xfId="30625" xr:uid="{00000000-0005-0000-0000-0000A1770000}"/>
    <cellStyle name="Normal 403 3 2" xfId="30626" xr:uid="{00000000-0005-0000-0000-0000A2770000}"/>
    <cellStyle name="Normal 403 3 2 2" xfId="30627" xr:uid="{00000000-0005-0000-0000-0000A3770000}"/>
    <cellStyle name="Normal 403 3 2 2 2" xfId="30628" xr:uid="{00000000-0005-0000-0000-0000A4770000}"/>
    <cellStyle name="Normal 403 3 2 3" xfId="30629" xr:uid="{00000000-0005-0000-0000-0000A5770000}"/>
    <cellStyle name="Normal 403 3 2 3 2" xfId="30630" xr:uid="{00000000-0005-0000-0000-0000A6770000}"/>
    <cellStyle name="Normal 403 3 2 3 2 2" xfId="30631" xr:uid="{00000000-0005-0000-0000-0000A7770000}"/>
    <cellStyle name="Normal 403 3 2 3 3" xfId="30632" xr:uid="{00000000-0005-0000-0000-0000A8770000}"/>
    <cellStyle name="Normal 403 3 2 4" xfId="30633" xr:uid="{00000000-0005-0000-0000-0000A9770000}"/>
    <cellStyle name="Normal 403 3 3" xfId="30634" xr:uid="{00000000-0005-0000-0000-0000AA770000}"/>
    <cellStyle name="Normal 403 3 3 2" xfId="30635" xr:uid="{00000000-0005-0000-0000-0000AB770000}"/>
    <cellStyle name="Normal 403 3 3 2 2" xfId="30636" xr:uid="{00000000-0005-0000-0000-0000AC770000}"/>
    <cellStyle name="Normal 403 3 3 3" xfId="30637" xr:uid="{00000000-0005-0000-0000-0000AD770000}"/>
    <cellStyle name="Normal 403 3 4" xfId="30638" xr:uid="{00000000-0005-0000-0000-0000AE770000}"/>
    <cellStyle name="Normal 403 3 4 2" xfId="30639" xr:uid="{00000000-0005-0000-0000-0000AF770000}"/>
    <cellStyle name="Normal 403 3 4 2 2" xfId="30640" xr:uid="{00000000-0005-0000-0000-0000B0770000}"/>
    <cellStyle name="Normal 403 3 4 3" xfId="30641" xr:uid="{00000000-0005-0000-0000-0000B1770000}"/>
    <cellStyle name="Normal 403 3 5" xfId="30642" xr:uid="{00000000-0005-0000-0000-0000B2770000}"/>
    <cellStyle name="Normal 403 3 5 2" xfId="30643" xr:uid="{00000000-0005-0000-0000-0000B3770000}"/>
    <cellStyle name="Normal 403 3 5 2 2" xfId="30644" xr:uid="{00000000-0005-0000-0000-0000B4770000}"/>
    <cellStyle name="Normal 403 3 5 3" xfId="30645" xr:uid="{00000000-0005-0000-0000-0000B5770000}"/>
    <cellStyle name="Normal 403 3 6" xfId="30646" xr:uid="{00000000-0005-0000-0000-0000B6770000}"/>
    <cellStyle name="Normal 403 4" xfId="30647" xr:uid="{00000000-0005-0000-0000-0000B7770000}"/>
    <cellStyle name="Normal 403 4 2" xfId="30648" xr:uid="{00000000-0005-0000-0000-0000B8770000}"/>
    <cellStyle name="Normal 403 4 2 2" xfId="30649" xr:uid="{00000000-0005-0000-0000-0000B9770000}"/>
    <cellStyle name="Normal 403 4 3" xfId="30650" xr:uid="{00000000-0005-0000-0000-0000BA770000}"/>
    <cellStyle name="Normal 403 5" xfId="30651" xr:uid="{00000000-0005-0000-0000-0000BB770000}"/>
    <cellStyle name="Normal 403 5 2" xfId="30652" xr:uid="{00000000-0005-0000-0000-0000BC770000}"/>
    <cellStyle name="Normal 403 5 2 2" xfId="30653" xr:uid="{00000000-0005-0000-0000-0000BD770000}"/>
    <cellStyle name="Normal 403 5 3" xfId="30654" xr:uid="{00000000-0005-0000-0000-0000BE770000}"/>
    <cellStyle name="Normal 403 6" xfId="30655" xr:uid="{00000000-0005-0000-0000-0000BF770000}"/>
    <cellStyle name="Normal 403 6 2" xfId="30656" xr:uid="{00000000-0005-0000-0000-0000C0770000}"/>
    <cellStyle name="Normal 403 6 2 2" xfId="30657" xr:uid="{00000000-0005-0000-0000-0000C1770000}"/>
    <cellStyle name="Normal 403 6 3" xfId="30658" xr:uid="{00000000-0005-0000-0000-0000C2770000}"/>
    <cellStyle name="Normal 403 7" xfId="30659" xr:uid="{00000000-0005-0000-0000-0000C3770000}"/>
    <cellStyle name="Normal 404" xfId="30660" xr:uid="{00000000-0005-0000-0000-0000C4770000}"/>
    <cellStyle name="Normal 404 2" xfId="30661" xr:uid="{00000000-0005-0000-0000-0000C5770000}"/>
    <cellStyle name="Normal 404 2 2" xfId="30662" xr:uid="{00000000-0005-0000-0000-0000C6770000}"/>
    <cellStyle name="Normal 404 2 2 2" xfId="30663" xr:uid="{00000000-0005-0000-0000-0000C7770000}"/>
    <cellStyle name="Normal 404 2 3" xfId="30664" xr:uid="{00000000-0005-0000-0000-0000C8770000}"/>
    <cellStyle name="Normal 404 2 3 2" xfId="30665" xr:uid="{00000000-0005-0000-0000-0000C9770000}"/>
    <cellStyle name="Normal 404 2 3 2 2" xfId="30666" xr:uid="{00000000-0005-0000-0000-0000CA770000}"/>
    <cellStyle name="Normal 404 2 3 3" xfId="30667" xr:uid="{00000000-0005-0000-0000-0000CB770000}"/>
    <cellStyle name="Normal 404 2 4" xfId="30668" xr:uid="{00000000-0005-0000-0000-0000CC770000}"/>
    <cellStyle name="Normal 404 2 4 2" xfId="30669" xr:uid="{00000000-0005-0000-0000-0000CD770000}"/>
    <cellStyle name="Normal 404 2 4 2 2" xfId="30670" xr:uid="{00000000-0005-0000-0000-0000CE770000}"/>
    <cellStyle name="Normal 404 2 4 3" xfId="30671" xr:uid="{00000000-0005-0000-0000-0000CF770000}"/>
    <cellStyle name="Normal 404 2 5" xfId="30672" xr:uid="{00000000-0005-0000-0000-0000D0770000}"/>
    <cellStyle name="Normal 404 3" xfId="30673" xr:uid="{00000000-0005-0000-0000-0000D1770000}"/>
    <cellStyle name="Normal 404 3 2" xfId="30674" xr:uid="{00000000-0005-0000-0000-0000D2770000}"/>
    <cellStyle name="Normal 404 3 2 2" xfId="30675" xr:uid="{00000000-0005-0000-0000-0000D3770000}"/>
    <cellStyle name="Normal 404 3 2 2 2" xfId="30676" xr:uid="{00000000-0005-0000-0000-0000D4770000}"/>
    <cellStyle name="Normal 404 3 2 3" xfId="30677" xr:uid="{00000000-0005-0000-0000-0000D5770000}"/>
    <cellStyle name="Normal 404 3 2 3 2" xfId="30678" xr:uid="{00000000-0005-0000-0000-0000D6770000}"/>
    <cellStyle name="Normal 404 3 2 3 2 2" xfId="30679" xr:uid="{00000000-0005-0000-0000-0000D7770000}"/>
    <cellStyle name="Normal 404 3 2 3 3" xfId="30680" xr:uid="{00000000-0005-0000-0000-0000D8770000}"/>
    <cellStyle name="Normal 404 3 2 4" xfId="30681" xr:uid="{00000000-0005-0000-0000-0000D9770000}"/>
    <cellStyle name="Normal 404 3 3" xfId="30682" xr:uid="{00000000-0005-0000-0000-0000DA770000}"/>
    <cellStyle name="Normal 404 3 3 2" xfId="30683" xr:uid="{00000000-0005-0000-0000-0000DB770000}"/>
    <cellStyle name="Normal 404 3 3 2 2" xfId="30684" xr:uid="{00000000-0005-0000-0000-0000DC770000}"/>
    <cellStyle name="Normal 404 3 3 3" xfId="30685" xr:uid="{00000000-0005-0000-0000-0000DD770000}"/>
    <cellStyle name="Normal 404 3 4" xfId="30686" xr:uid="{00000000-0005-0000-0000-0000DE770000}"/>
    <cellStyle name="Normal 404 3 4 2" xfId="30687" xr:uid="{00000000-0005-0000-0000-0000DF770000}"/>
    <cellStyle name="Normal 404 3 4 2 2" xfId="30688" xr:uid="{00000000-0005-0000-0000-0000E0770000}"/>
    <cellStyle name="Normal 404 3 4 3" xfId="30689" xr:uid="{00000000-0005-0000-0000-0000E1770000}"/>
    <cellStyle name="Normal 404 3 5" xfId="30690" xr:uid="{00000000-0005-0000-0000-0000E2770000}"/>
    <cellStyle name="Normal 404 3 5 2" xfId="30691" xr:uid="{00000000-0005-0000-0000-0000E3770000}"/>
    <cellStyle name="Normal 404 3 5 2 2" xfId="30692" xr:uid="{00000000-0005-0000-0000-0000E4770000}"/>
    <cellStyle name="Normal 404 3 5 3" xfId="30693" xr:uid="{00000000-0005-0000-0000-0000E5770000}"/>
    <cellStyle name="Normal 404 3 6" xfId="30694" xr:uid="{00000000-0005-0000-0000-0000E6770000}"/>
    <cellStyle name="Normal 404 4" xfId="30695" xr:uid="{00000000-0005-0000-0000-0000E7770000}"/>
    <cellStyle name="Normal 404 4 2" xfId="30696" xr:uid="{00000000-0005-0000-0000-0000E8770000}"/>
    <cellStyle name="Normal 404 4 2 2" xfId="30697" xr:uid="{00000000-0005-0000-0000-0000E9770000}"/>
    <cellStyle name="Normal 404 4 3" xfId="30698" xr:uid="{00000000-0005-0000-0000-0000EA770000}"/>
    <cellStyle name="Normal 404 5" xfId="30699" xr:uid="{00000000-0005-0000-0000-0000EB770000}"/>
    <cellStyle name="Normal 404 5 2" xfId="30700" xr:uid="{00000000-0005-0000-0000-0000EC770000}"/>
    <cellStyle name="Normal 404 5 2 2" xfId="30701" xr:uid="{00000000-0005-0000-0000-0000ED770000}"/>
    <cellStyle name="Normal 404 5 3" xfId="30702" xr:uid="{00000000-0005-0000-0000-0000EE770000}"/>
    <cellStyle name="Normal 404 6" xfId="30703" xr:uid="{00000000-0005-0000-0000-0000EF770000}"/>
    <cellStyle name="Normal 404 6 2" xfId="30704" xr:uid="{00000000-0005-0000-0000-0000F0770000}"/>
    <cellStyle name="Normal 404 6 2 2" xfId="30705" xr:uid="{00000000-0005-0000-0000-0000F1770000}"/>
    <cellStyle name="Normal 404 6 3" xfId="30706" xr:uid="{00000000-0005-0000-0000-0000F2770000}"/>
    <cellStyle name="Normal 404 7" xfId="30707" xr:uid="{00000000-0005-0000-0000-0000F3770000}"/>
    <cellStyle name="Normal 405" xfId="30708" xr:uid="{00000000-0005-0000-0000-0000F4770000}"/>
    <cellStyle name="Normal 405 2" xfId="30709" xr:uid="{00000000-0005-0000-0000-0000F5770000}"/>
    <cellStyle name="Normal 405 2 2" xfId="30710" xr:uid="{00000000-0005-0000-0000-0000F6770000}"/>
    <cellStyle name="Normal 405 2 2 2" xfId="30711" xr:uid="{00000000-0005-0000-0000-0000F7770000}"/>
    <cellStyle name="Normal 405 2 3" xfId="30712" xr:uid="{00000000-0005-0000-0000-0000F8770000}"/>
    <cellStyle name="Normal 405 2 3 2" xfId="30713" xr:uid="{00000000-0005-0000-0000-0000F9770000}"/>
    <cellStyle name="Normal 405 2 3 2 2" xfId="30714" xr:uid="{00000000-0005-0000-0000-0000FA770000}"/>
    <cellStyle name="Normal 405 2 3 3" xfId="30715" xr:uid="{00000000-0005-0000-0000-0000FB770000}"/>
    <cellStyle name="Normal 405 2 4" xfId="30716" xr:uid="{00000000-0005-0000-0000-0000FC770000}"/>
    <cellStyle name="Normal 405 2 4 2" xfId="30717" xr:uid="{00000000-0005-0000-0000-0000FD770000}"/>
    <cellStyle name="Normal 405 2 4 2 2" xfId="30718" xr:uid="{00000000-0005-0000-0000-0000FE770000}"/>
    <cellStyle name="Normal 405 2 4 3" xfId="30719" xr:uid="{00000000-0005-0000-0000-0000FF770000}"/>
    <cellStyle name="Normal 405 2 5" xfId="30720" xr:uid="{00000000-0005-0000-0000-000000780000}"/>
    <cellStyle name="Normal 405 3" xfId="30721" xr:uid="{00000000-0005-0000-0000-000001780000}"/>
    <cellStyle name="Normal 405 3 2" xfId="30722" xr:uid="{00000000-0005-0000-0000-000002780000}"/>
    <cellStyle name="Normal 405 3 2 2" xfId="30723" xr:uid="{00000000-0005-0000-0000-000003780000}"/>
    <cellStyle name="Normal 405 3 2 2 2" xfId="30724" xr:uid="{00000000-0005-0000-0000-000004780000}"/>
    <cellStyle name="Normal 405 3 2 3" xfId="30725" xr:uid="{00000000-0005-0000-0000-000005780000}"/>
    <cellStyle name="Normal 405 3 2 3 2" xfId="30726" xr:uid="{00000000-0005-0000-0000-000006780000}"/>
    <cellStyle name="Normal 405 3 2 3 2 2" xfId="30727" xr:uid="{00000000-0005-0000-0000-000007780000}"/>
    <cellStyle name="Normal 405 3 2 3 3" xfId="30728" xr:uid="{00000000-0005-0000-0000-000008780000}"/>
    <cellStyle name="Normal 405 3 2 4" xfId="30729" xr:uid="{00000000-0005-0000-0000-000009780000}"/>
    <cellStyle name="Normal 405 3 3" xfId="30730" xr:uid="{00000000-0005-0000-0000-00000A780000}"/>
    <cellStyle name="Normal 405 3 3 2" xfId="30731" xr:uid="{00000000-0005-0000-0000-00000B780000}"/>
    <cellStyle name="Normal 405 3 3 2 2" xfId="30732" xr:uid="{00000000-0005-0000-0000-00000C780000}"/>
    <cellStyle name="Normal 405 3 3 3" xfId="30733" xr:uid="{00000000-0005-0000-0000-00000D780000}"/>
    <cellStyle name="Normal 405 3 4" xfId="30734" xr:uid="{00000000-0005-0000-0000-00000E780000}"/>
    <cellStyle name="Normal 405 3 4 2" xfId="30735" xr:uid="{00000000-0005-0000-0000-00000F780000}"/>
    <cellStyle name="Normal 405 3 4 2 2" xfId="30736" xr:uid="{00000000-0005-0000-0000-000010780000}"/>
    <cellStyle name="Normal 405 3 4 3" xfId="30737" xr:uid="{00000000-0005-0000-0000-000011780000}"/>
    <cellStyle name="Normal 405 3 5" xfId="30738" xr:uid="{00000000-0005-0000-0000-000012780000}"/>
    <cellStyle name="Normal 405 3 5 2" xfId="30739" xr:uid="{00000000-0005-0000-0000-000013780000}"/>
    <cellStyle name="Normal 405 3 5 2 2" xfId="30740" xr:uid="{00000000-0005-0000-0000-000014780000}"/>
    <cellStyle name="Normal 405 3 5 3" xfId="30741" xr:uid="{00000000-0005-0000-0000-000015780000}"/>
    <cellStyle name="Normal 405 3 6" xfId="30742" xr:uid="{00000000-0005-0000-0000-000016780000}"/>
    <cellStyle name="Normal 405 4" xfId="30743" xr:uid="{00000000-0005-0000-0000-000017780000}"/>
    <cellStyle name="Normal 405 4 2" xfId="30744" xr:uid="{00000000-0005-0000-0000-000018780000}"/>
    <cellStyle name="Normal 405 4 2 2" xfId="30745" xr:uid="{00000000-0005-0000-0000-000019780000}"/>
    <cellStyle name="Normal 405 4 3" xfId="30746" xr:uid="{00000000-0005-0000-0000-00001A780000}"/>
    <cellStyle name="Normal 405 5" xfId="30747" xr:uid="{00000000-0005-0000-0000-00001B780000}"/>
    <cellStyle name="Normal 405 5 2" xfId="30748" xr:uid="{00000000-0005-0000-0000-00001C780000}"/>
    <cellStyle name="Normal 405 5 2 2" xfId="30749" xr:uid="{00000000-0005-0000-0000-00001D780000}"/>
    <cellStyle name="Normal 405 5 3" xfId="30750" xr:uid="{00000000-0005-0000-0000-00001E780000}"/>
    <cellStyle name="Normal 405 6" xfId="30751" xr:uid="{00000000-0005-0000-0000-00001F780000}"/>
    <cellStyle name="Normal 405 6 2" xfId="30752" xr:uid="{00000000-0005-0000-0000-000020780000}"/>
    <cellStyle name="Normal 405 6 2 2" xfId="30753" xr:uid="{00000000-0005-0000-0000-000021780000}"/>
    <cellStyle name="Normal 405 6 3" xfId="30754" xr:uid="{00000000-0005-0000-0000-000022780000}"/>
    <cellStyle name="Normal 405 7" xfId="30755" xr:uid="{00000000-0005-0000-0000-000023780000}"/>
    <cellStyle name="Normal 406" xfId="30756" xr:uid="{00000000-0005-0000-0000-000024780000}"/>
    <cellStyle name="Normal 406 2" xfId="30757" xr:uid="{00000000-0005-0000-0000-000025780000}"/>
    <cellStyle name="Normal 406 2 2" xfId="30758" xr:uid="{00000000-0005-0000-0000-000026780000}"/>
    <cellStyle name="Normal 406 2 2 2" xfId="30759" xr:uid="{00000000-0005-0000-0000-000027780000}"/>
    <cellStyle name="Normal 406 2 3" xfId="30760" xr:uid="{00000000-0005-0000-0000-000028780000}"/>
    <cellStyle name="Normal 406 2 3 2" xfId="30761" xr:uid="{00000000-0005-0000-0000-000029780000}"/>
    <cellStyle name="Normal 406 2 3 2 2" xfId="30762" xr:uid="{00000000-0005-0000-0000-00002A780000}"/>
    <cellStyle name="Normal 406 2 3 3" xfId="30763" xr:uid="{00000000-0005-0000-0000-00002B780000}"/>
    <cellStyle name="Normal 406 2 4" xfId="30764" xr:uid="{00000000-0005-0000-0000-00002C780000}"/>
    <cellStyle name="Normal 406 2 4 2" xfId="30765" xr:uid="{00000000-0005-0000-0000-00002D780000}"/>
    <cellStyle name="Normal 406 2 4 2 2" xfId="30766" xr:uid="{00000000-0005-0000-0000-00002E780000}"/>
    <cellStyle name="Normal 406 2 4 3" xfId="30767" xr:uid="{00000000-0005-0000-0000-00002F780000}"/>
    <cellStyle name="Normal 406 2 5" xfId="30768" xr:uid="{00000000-0005-0000-0000-000030780000}"/>
    <cellStyle name="Normal 406 3" xfId="30769" xr:uid="{00000000-0005-0000-0000-000031780000}"/>
    <cellStyle name="Normal 406 3 2" xfId="30770" xr:uid="{00000000-0005-0000-0000-000032780000}"/>
    <cellStyle name="Normal 406 3 2 2" xfId="30771" xr:uid="{00000000-0005-0000-0000-000033780000}"/>
    <cellStyle name="Normal 406 3 2 2 2" xfId="30772" xr:uid="{00000000-0005-0000-0000-000034780000}"/>
    <cellStyle name="Normal 406 3 2 3" xfId="30773" xr:uid="{00000000-0005-0000-0000-000035780000}"/>
    <cellStyle name="Normal 406 3 2 3 2" xfId="30774" xr:uid="{00000000-0005-0000-0000-000036780000}"/>
    <cellStyle name="Normal 406 3 2 3 2 2" xfId="30775" xr:uid="{00000000-0005-0000-0000-000037780000}"/>
    <cellStyle name="Normal 406 3 2 3 3" xfId="30776" xr:uid="{00000000-0005-0000-0000-000038780000}"/>
    <cellStyle name="Normal 406 3 2 4" xfId="30777" xr:uid="{00000000-0005-0000-0000-000039780000}"/>
    <cellStyle name="Normal 406 3 3" xfId="30778" xr:uid="{00000000-0005-0000-0000-00003A780000}"/>
    <cellStyle name="Normal 406 3 3 2" xfId="30779" xr:uid="{00000000-0005-0000-0000-00003B780000}"/>
    <cellStyle name="Normal 406 3 3 2 2" xfId="30780" xr:uid="{00000000-0005-0000-0000-00003C780000}"/>
    <cellStyle name="Normal 406 3 3 3" xfId="30781" xr:uid="{00000000-0005-0000-0000-00003D780000}"/>
    <cellStyle name="Normal 406 3 4" xfId="30782" xr:uid="{00000000-0005-0000-0000-00003E780000}"/>
    <cellStyle name="Normal 406 3 4 2" xfId="30783" xr:uid="{00000000-0005-0000-0000-00003F780000}"/>
    <cellStyle name="Normal 406 3 4 2 2" xfId="30784" xr:uid="{00000000-0005-0000-0000-000040780000}"/>
    <cellStyle name="Normal 406 3 4 3" xfId="30785" xr:uid="{00000000-0005-0000-0000-000041780000}"/>
    <cellStyle name="Normal 406 3 5" xfId="30786" xr:uid="{00000000-0005-0000-0000-000042780000}"/>
    <cellStyle name="Normal 406 3 5 2" xfId="30787" xr:uid="{00000000-0005-0000-0000-000043780000}"/>
    <cellStyle name="Normal 406 3 5 2 2" xfId="30788" xr:uid="{00000000-0005-0000-0000-000044780000}"/>
    <cellStyle name="Normal 406 3 5 3" xfId="30789" xr:uid="{00000000-0005-0000-0000-000045780000}"/>
    <cellStyle name="Normal 406 3 6" xfId="30790" xr:uid="{00000000-0005-0000-0000-000046780000}"/>
    <cellStyle name="Normal 406 4" xfId="30791" xr:uid="{00000000-0005-0000-0000-000047780000}"/>
    <cellStyle name="Normal 406 4 2" xfId="30792" xr:uid="{00000000-0005-0000-0000-000048780000}"/>
    <cellStyle name="Normal 406 4 2 2" xfId="30793" xr:uid="{00000000-0005-0000-0000-000049780000}"/>
    <cellStyle name="Normal 406 4 3" xfId="30794" xr:uid="{00000000-0005-0000-0000-00004A780000}"/>
    <cellStyle name="Normal 406 5" xfId="30795" xr:uid="{00000000-0005-0000-0000-00004B780000}"/>
    <cellStyle name="Normal 406 5 2" xfId="30796" xr:uid="{00000000-0005-0000-0000-00004C780000}"/>
    <cellStyle name="Normal 406 5 2 2" xfId="30797" xr:uid="{00000000-0005-0000-0000-00004D780000}"/>
    <cellStyle name="Normal 406 5 3" xfId="30798" xr:uid="{00000000-0005-0000-0000-00004E780000}"/>
    <cellStyle name="Normal 406 6" xfId="30799" xr:uid="{00000000-0005-0000-0000-00004F780000}"/>
    <cellStyle name="Normal 406 6 2" xfId="30800" xr:uid="{00000000-0005-0000-0000-000050780000}"/>
    <cellStyle name="Normal 406 6 2 2" xfId="30801" xr:uid="{00000000-0005-0000-0000-000051780000}"/>
    <cellStyle name="Normal 406 6 3" xfId="30802" xr:uid="{00000000-0005-0000-0000-000052780000}"/>
    <cellStyle name="Normal 406 7" xfId="30803" xr:uid="{00000000-0005-0000-0000-000053780000}"/>
    <cellStyle name="Normal 407" xfId="30804" xr:uid="{00000000-0005-0000-0000-000054780000}"/>
    <cellStyle name="Normal 407 2" xfId="30805" xr:uid="{00000000-0005-0000-0000-000055780000}"/>
    <cellStyle name="Normal 407 2 2" xfId="30806" xr:uid="{00000000-0005-0000-0000-000056780000}"/>
    <cellStyle name="Normal 407 2 2 2" xfId="30807" xr:uid="{00000000-0005-0000-0000-000057780000}"/>
    <cellStyle name="Normal 407 2 3" xfId="30808" xr:uid="{00000000-0005-0000-0000-000058780000}"/>
    <cellStyle name="Normal 407 2 3 2" xfId="30809" xr:uid="{00000000-0005-0000-0000-000059780000}"/>
    <cellStyle name="Normal 407 2 3 2 2" xfId="30810" xr:uid="{00000000-0005-0000-0000-00005A780000}"/>
    <cellStyle name="Normal 407 2 3 3" xfId="30811" xr:uid="{00000000-0005-0000-0000-00005B780000}"/>
    <cellStyle name="Normal 407 2 4" xfId="30812" xr:uid="{00000000-0005-0000-0000-00005C780000}"/>
    <cellStyle name="Normal 407 2 4 2" xfId="30813" xr:uid="{00000000-0005-0000-0000-00005D780000}"/>
    <cellStyle name="Normal 407 2 4 2 2" xfId="30814" xr:uid="{00000000-0005-0000-0000-00005E780000}"/>
    <cellStyle name="Normal 407 2 4 3" xfId="30815" xr:uid="{00000000-0005-0000-0000-00005F780000}"/>
    <cellStyle name="Normal 407 2 5" xfId="30816" xr:uid="{00000000-0005-0000-0000-000060780000}"/>
    <cellStyle name="Normal 407 3" xfId="30817" xr:uid="{00000000-0005-0000-0000-000061780000}"/>
    <cellStyle name="Normal 407 3 2" xfId="30818" xr:uid="{00000000-0005-0000-0000-000062780000}"/>
    <cellStyle name="Normal 407 3 2 2" xfId="30819" xr:uid="{00000000-0005-0000-0000-000063780000}"/>
    <cellStyle name="Normal 407 3 2 2 2" xfId="30820" xr:uid="{00000000-0005-0000-0000-000064780000}"/>
    <cellStyle name="Normal 407 3 2 3" xfId="30821" xr:uid="{00000000-0005-0000-0000-000065780000}"/>
    <cellStyle name="Normal 407 3 2 3 2" xfId="30822" xr:uid="{00000000-0005-0000-0000-000066780000}"/>
    <cellStyle name="Normal 407 3 2 3 2 2" xfId="30823" xr:uid="{00000000-0005-0000-0000-000067780000}"/>
    <cellStyle name="Normal 407 3 2 3 3" xfId="30824" xr:uid="{00000000-0005-0000-0000-000068780000}"/>
    <cellStyle name="Normal 407 3 2 4" xfId="30825" xr:uid="{00000000-0005-0000-0000-000069780000}"/>
    <cellStyle name="Normal 407 3 3" xfId="30826" xr:uid="{00000000-0005-0000-0000-00006A780000}"/>
    <cellStyle name="Normal 407 3 3 2" xfId="30827" xr:uid="{00000000-0005-0000-0000-00006B780000}"/>
    <cellStyle name="Normal 407 3 3 2 2" xfId="30828" xr:uid="{00000000-0005-0000-0000-00006C780000}"/>
    <cellStyle name="Normal 407 3 3 3" xfId="30829" xr:uid="{00000000-0005-0000-0000-00006D780000}"/>
    <cellStyle name="Normal 407 3 4" xfId="30830" xr:uid="{00000000-0005-0000-0000-00006E780000}"/>
    <cellStyle name="Normal 407 3 4 2" xfId="30831" xr:uid="{00000000-0005-0000-0000-00006F780000}"/>
    <cellStyle name="Normal 407 3 4 2 2" xfId="30832" xr:uid="{00000000-0005-0000-0000-000070780000}"/>
    <cellStyle name="Normal 407 3 4 3" xfId="30833" xr:uid="{00000000-0005-0000-0000-000071780000}"/>
    <cellStyle name="Normal 407 3 5" xfId="30834" xr:uid="{00000000-0005-0000-0000-000072780000}"/>
    <cellStyle name="Normal 407 3 5 2" xfId="30835" xr:uid="{00000000-0005-0000-0000-000073780000}"/>
    <cellStyle name="Normal 407 3 5 2 2" xfId="30836" xr:uid="{00000000-0005-0000-0000-000074780000}"/>
    <cellStyle name="Normal 407 3 5 3" xfId="30837" xr:uid="{00000000-0005-0000-0000-000075780000}"/>
    <cellStyle name="Normal 407 3 6" xfId="30838" xr:uid="{00000000-0005-0000-0000-000076780000}"/>
    <cellStyle name="Normal 407 4" xfId="30839" xr:uid="{00000000-0005-0000-0000-000077780000}"/>
    <cellStyle name="Normal 407 4 2" xfId="30840" xr:uid="{00000000-0005-0000-0000-000078780000}"/>
    <cellStyle name="Normal 407 4 2 2" xfId="30841" xr:uid="{00000000-0005-0000-0000-000079780000}"/>
    <cellStyle name="Normal 407 4 3" xfId="30842" xr:uid="{00000000-0005-0000-0000-00007A780000}"/>
    <cellStyle name="Normal 407 5" xfId="30843" xr:uid="{00000000-0005-0000-0000-00007B780000}"/>
    <cellStyle name="Normal 407 5 2" xfId="30844" xr:uid="{00000000-0005-0000-0000-00007C780000}"/>
    <cellStyle name="Normal 407 5 2 2" xfId="30845" xr:uid="{00000000-0005-0000-0000-00007D780000}"/>
    <cellStyle name="Normal 407 5 3" xfId="30846" xr:uid="{00000000-0005-0000-0000-00007E780000}"/>
    <cellStyle name="Normal 407 6" xfId="30847" xr:uid="{00000000-0005-0000-0000-00007F780000}"/>
    <cellStyle name="Normal 407 6 2" xfId="30848" xr:uid="{00000000-0005-0000-0000-000080780000}"/>
    <cellStyle name="Normal 407 6 2 2" xfId="30849" xr:uid="{00000000-0005-0000-0000-000081780000}"/>
    <cellStyle name="Normal 407 6 3" xfId="30850" xr:uid="{00000000-0005-0000-0000-000082780000}"/>
    <cellStyle name="Normal 407 7" xfId="30851" xr:uid="{00000000-0005-0000-0000-000083780000}"/>
    <cellStyle name="Normal 408" xfId="30852" xr:uid="{00000000-0005-0000-0000-000084780000}"/>
    <cellStyle name="Normal 408 2" xfId="30853" xr:uid="{00000000-0005-0000-0000-000085780000}"/>
    <cellStyle name="Normal 408 2 2" xfId="30854" xr:uid="{00000000-0005-0000-0000-000086780000}"/>
    <cellStyle name="Normal 408 2 2 2" xfId="30855" xr:uid="{00000000-0005-0000-0000-000087780000}"/>
    <cellStyle name="Normal 408 2 3" xfId="30856" xr:uid="{00000000-0005-0000-0000-000088780000}"/>
    <cellStyle name="Normal 408 2 3 2" xfId="30857" xr:uid="{00000000-0005-0000-0000-000089780000}"/>
    <cellStyle name="Normal 408 2 3 2 2" xfId="30858" xr:uid="{00000000-0005-0000-0000-00008A780000}"/>
    <cellStyle name="Normal 408 2 3 3" xfId="30859" xr:uid="{00000000-0005-0000-0000-00008B780000}"/>
    <cellStyle name="Normal 408 2 4" xfId="30860" xr:uid="{00000000-0005-0000-0000-00008C780000}"/>
    <cellStyle name="Normal 408 2 4 2" xfId="30861" xr:uid="{00000000-0005-0000-0000-00008D780000}"/>
    <cellStyle name="Normal 408 2 4 2 2" xfId="30862" xr:uid="{00000000-0005-0000-0000-00008E780000}"/>
    <cellStyle name="Normal 408 2 4 3" xfId="30863" xr:uid="{00000000-0005-0000-0000-00008F780000}"/>
    <cellStyle name="Normal 408 2 5" xfId="30864" xr:uid="{00000000-0005-0000-0000-000090780000}"/>
    <cellStyle name="Normal 408 3" xfId="30865" xr:uid="{00000000-0005-0000-0000-000091780000}"/>
    <cellStyle name="Normal 408 3 2" xfId="30866" xr:uid="{00000000-0005-0000-0000-000092780000}"/>
    <cellStyle name="Normal 408 3 2 2" xfId="30867" xr:uid="{00000000-0005-0000-0000-000093780000}"/>
    <cellStyle name="Normal 408 3 2 2 2" xfId="30868" xr:uid="{00000000-0005-0000-0000-000094780000}"/>
    <cellStyle name="Normal 408 3 2 3" xfId="30869" xr:uid="{00000000-0005-0000-0000-000095780000}"/>
    <cellStyle name="Normal 408 3 2 3 2" xfId="30870" xr:uid="{00000000-0005-0000-0000-000096780000}"/>
    <cellStyle name="Normal 408 3 2 3 2 2" xfId="30871" xr:uid="{00000000-0005-0000-0000-000097780000}"/>
    <cellStyle name="Normal 408 3 2 3 3" xfId="30872" xr:uid="{00000000-0005-0000-0000-000098780000}"/>
    <cellStyle name="Normal 408 3 2 4" xfId="30873" xr:uid="{00000000-0005-0000-0000-000099780000}"/>
    <cellStyle name="Normal 408 3 3" xfId="30874" xr:uid="{00000000-0005-0000-0000-00009A780000}"/>
    <cellStyle name="Normal 408 3 3 2" xfId="30875" xr:uid="{00000000-0005-0000-0000-00009B780000}"/>
    <cellStyle name="Normal 408 3 3 2 2" xfId="30876" xr:uid="{00000000-0005-0000-0000-00009C780000}"/>
    <cellStyle name="Normal 408 3 3 3" xfId="30877" xr:uid="{00000000-0005-0000-0000-00009D780000}"/>
    <cellStyle name="Normal 408 3 4" xfId="30878" xr:uid="{00000000-0005-0000-0000-00009E780000}"/>
    <cellStyle name="Normal 408 3 4 2" xfId="30879" xr:uid="{00000000-0005-0000-0000-00009F780000}"/>
    <cellStyle name="Normal 408 3 4 2 2" xfId="30880" xr:uid="{00000000-0005-0000-0000-0000A0780000}"/>
    <cellStyle name="Normal 408 3 4 3" xfId="30881" xr:uid="{00000000-0005-0000-0000-0000A1780000}"/>
    <cellStyle name="Normal 408 3 5" xfId="30882" xr:uid="{00000000-0005-0000-0000-0000A2780000}"/>
    <cellStyle name="Normal 408 3 5 2" xfId="30883" xr:uid="{00000000-0005-0000-0000-0000A3780000}"/>
    <cellStyle name="Normal 408 3 5 2 2" xfId="30884" xr:uid="{00000000-0005-0000-0000-0000A4780000}"/>
    <cellStyle name="Normal 408 3 5 3" xfId="30885" xr:uid="{00000000-0005-0000-0000-0000A5780000}"/>
    <cellStyle name="Normal 408 3 6" xfId="30886" xr:uid="{00000000-0005-0000-0000-0000A6780000}"/>
    <cellStyle name="Normal 408 4" xfId="30887" xr:uid="{00000000-0005-0000-0000-0000A7780000}"/>
    <cellStyle name="Normal 408 4 2" xfId="30888" xr:uid="{00000000-0005-0000-0000-0000A8780000}"/>
    <cellStyle name="Normal 408 4 2 2" xfId="30889" xr:uid="{00000000-0005-0000-0000-0000A9780000}"/>
    <cellStyle name="Normal 408 4 3" xfId="30890" xr:uid="{00000000-0005-0000-0000-0000AA780000}"/>
    <cellStyle name="Normal 408 5" xfId="30891" xr:uid="{00000000-0005-0000-0000-0000AB780000}"/>
    <cellStyle name="Normal 408 5 2" xfId="30892" xr:uid="{00000000-0005-0000-0000-0000AC780000}"/>
    <cellStyle name="Normal 408 5 2 2" xfId="30893" xr:uid="{00000000-0005-0000-0000-0000AD780000}"/>
    <cellStyle name="Normal 408 5 3" xfId="30894" xr:uid="{00000000-0005-0000-0000-0000AE780000}"/>
    <cellStyle name="Normal 408 6" xfId="30895" xr:uid="{00000000-0005-0000-0000-0000AF780000}"/>
    <cellStyle name="Normal 408 6 2" xfId="30896" xr:uid="{00000000-0005-0000-0000-0000B0780000}"/>
    <cellStyle name="Normal 408 6 2 2" xfId="30897" xr:uid="{00000000-0005-0000-0000-0000B1780000}"/>
    <cellStyle name="Normal 408 6 3" xfId="30898" xr:uid="{00000000-0005-0000-0000-0000B2780000}"/>
    <cellStyle name="Normal 408 7" xfId="30899" xr:uid="{00000000-0005-0000-0000-0000B3780000}"/>
    <cellStyle name="Normal 409" xfId="30900" xr:uid="{00000000-0005-0000-0000-0000B4780000}"/>
    <cellStyle name="Normal 409 2" xfId="30901" xr:uid="{00000000-0005-0000-0000-0000B5780000}"/>
    <cellStyle name="Normal 409 2 2" xfId="30902" xr:uid="{00000000-0005-0000-0000-0000B6780000}"/>
    <cellStyle name="Normal 409 2 2 2" xfId="30903" xr:uid="{00000000-0005-0000-0000-0000B7780000}"/>
    <cellStyle name="Normal 409 2 3" xfId="30904" xr:uid="{00000000-0005-0000-0000-0000B8780000}"/>
    <cellStyle name="Normal 409 2 3 2" xfId="30905" xr:uid="{00000000-0005-0000-0000-0000B9780000}"/>
    <cellStyle name="Normal 409 2 3 2 2" xfId="30906" xr:uid="{00000000-0005-0000-0000-0000BA780000}"/>
    <cellStyle name="Normal 409 2 3 3" xfId="30907" xr:uid="{00000000-0005-0000-0000-0000BB780000}"/>
    <cellStyle name="Normal 409 2 4" xfId="30908" xr:uid="{00000000-0005-0000-0000-0000BC780000}"/>
    <cellStyle name="Normal 409 2 4 2" xfId="30909" xr:uid="{00000000-0005-0000-0000-0000BD780000}"/>
    <cellStyle name="Normal 409 2 4 2 2" xfId="30910" xr:uid="{00000000-0005-0000-0000-0000BE780000}"/>
    <cellStyle name="Normal 409 2 4 3" xfId="30911" xr:uid="{00000000-0005-0000-0000-0000BF780000}"/>
    <cellStyle name="Normal 409 2 5" xfId="30912" xr:uid="{00000000-0005-0000-0000-0000C0780000}"/>
    <cellStyle name="Normal 409 3" xfId="30913" xr:uid="{00000000-0005-0000-0000-0000C1780000}"/>
    <cellStyle name="Normal 409 3 2" xfId="30914" xr:uid="{00000000-0005-0000-0000-0000C2780000}"/>
    <cellStyle name="Normal 409 3 2 2" xfId="30915" xr:uid="{00000000-0005-0000-0000-0000C3780000}"/>
    <cellStyle name="Normal 409 3 2 2 2" xfId="30916" xr:uid="{00000000-0005-0000-0000-0000C4780000}"/>
    <cellStyle name="Normal 409 3 2 3" xfId="30917" xr:uid="{00000000-0005-0000-0000-0000C5780000}"/>
    <cellStyle name="Normal 409 3 2 3 2" xfId="30918" xr:uid="{00000000-0005-0000-0000-0000C6780000}"/>
    <cellStyle name="Normal 409 3 2 3 2 2" xfId="30919" xr:uid="{00000000-0005-0000-0000-0000C7780000}"/>
    <cellStyle name="Normal 409 3 2 3 3" xfId="30920" xr:uid="{00000000-0005-0000-0000-0000C8780000}"/>
    <cellStyle name="Normal 409 3 2 4" xfId="30921" xr:uid="{00000000-0005-0000-0000-0000C9780000}"/>
    <cellStyle name="Normal 409 3 3" xfId="30922" xr:uid="{00000000-0005-0000-0000-0000CA780000}"/>
    <cellStyle name="Normal 409 3 3 2" xfId="30923" xr:uid="{00000000-0005-0000-0000-0000CB780000}"/>
    <cellStyle name="Normal 409 3 3 2 2" xfId="30924" xr:uid="{00000000-0005-0000-0000-0000CC780000}"/>
    <cellStyle name="Normal 409 3 3 3" xfId="30925" xr:uid="{00000000-0005-0000-0000-0000CD780000}"/>
    <cellStyle name="Normal 409 3 4" xfId="30926" xr:uid="{00000000-0005-0000-0000-0000CE780000}"/>
    <cellStyle name="Normal 409 3 4 2" xfId="30927" xr:uid="{00000000-0005-0000-0000-0000CF780000}"/>
    <cellStyle name="Normal 409 3 4 2 2" xfId="30928" xr:uid="{00000000-0005-0000-0000-0000D0780000}"/>
    <cellStyle name="Normal 409 3 4 3" xfId="30929" xr:uid="{00000000-0005-0000-0000-0000D1780000}"/>
    <cellStyle name="Normal 409 3 5" xfId="30930" xr:uid="{00000000-0005-0000-0000-0000D2780000}"/>
    <cellStyle name="Normal 409 3 5 2" xfId="30931" xr:uid="{00000000-0005-0000-0000-0000D3780000}"/>
    <cellStyle name="Normal 409 3 5 2 2" xfId="30932" xr:uid="{00000000-0005-0000-0000-0000D4780000}"/>
    <cellStyle name="Normal 409 3 5 3" xfId="30933" xr:uid="{00000000-0005-0000-0000-0000D5780000}"/>
    <cellStyle name="Normal 409 3 6" xfId="30934" xr:uid="{00000000-0005-0000-0000-0000D6780000}"/>
    <cellStyle name="Normal 409 4" xfId="30935" xr:uid="{00000000-0005-0000-0000-0000D7780000}"/>
    <cellStyle name="Normal 409 4 2" xfId="30936" xr:uid="{00000000-0005-0000-0000-0000D8780000}"/>
    <cellStyle name="Normal 409 4 2 2" xfId="30937" xr:uid="{00000000-0005-0000-0000-0000D9780000}"/>
    <cellStyle name="Normal 409 4 3" xfId="30938" xr:uid="{00000000-0005-0000-0000-0000DA780000}"/>
    <cellStyle name="Normal 409 5" xfId="30939" xr:uid="{00000000-0005-0000-0000-0000DB780000}"/>
    <cellStyle name="Normal 409 5 2" xfId="30940" xr:uid="{00000000-0005-0000-0000-0000DC780000}"/>
    <cellStyle name="Normal 409 5 2 2" xfId="30941" xr:uid="{00000000-0005-0000-0000-0000DD780000}"/>
    <cellStyle name="Normal 409 5 3" xfId="30942" xr:uid="{00000000-0005-0000-0000-0000DE780000}"/>
    <cellStyle name="Normal 409 6" xfId="30943" xr:uid="{00000000-0005-0000-0000-0000DF780000}"/>
    <cellStyle name="Normal 409 6 2" xfId="30944" xr:uid="{00000000-0005-0000-0000-0000E0780000}"/>
    <cellStyle name="Normal 409 6 2 2" xfId="30945" xr:uid="{00000000-0005-0000-0000-0000E1780000}"/>
    <cellStyle name="Normal 409 6 3" xfId="30946" xr:uid="{00000000-0005-0000-0000-0000E2780000}"/>
    <cellStyle name="Normal 409 7" xfId="30947" xr:uid="{00000000-0005-0000-0000-0000E3780000}"/>
    <cellStyle name="Normal 41" xfId="30948" xr:uid="{00000000-0005-0000-0000-0000E4780000}"/>
    <cellStyle name="Normal 41 2" xfId="30949" xr:uid="{00000000-0005-0000-0000-0000E5780000}"/>
    <cellStyle name="Normal 41 2 2" xfId="30950" xr:uid="{00000000-0005-0000-0000-0000E6780000}"/>
    <cellStyle name="Normal 41 2 2 2" xfId="30951" xr:uid="{00000000-0005-0000-0000-0000E7780000}"/>
    <cellStyle name="Normal 41 2 2 2 2" xfId="30952" xr:uid="{00000000-0005-0000-0000-0000E8780000}"/>
    <cellStyle name="Normal 41 2 2 3" xfId="30953" xr:uid="{00000000-0005-0000-0000-0000E9780000}"/>
    <cellStyle name="Normal 41 2 2 3 2" xfId="30954" xr:uid="{00000000-0005-0000-0000-0000EA780000}"/>
    <cellStyle name="Normal 41 2 2 3 2 2" xfId="30955" xr:uid="{00000000-0005-0000-0000-0000EB780000}"/>
    <cellStyle name="Normal 41 2 2 3 3" xfId="30956" xr:uid="{00000000-0005-0000-0000-0000EC780000}"/>
    <cellStyle name="Normal 41 2 2 4" xfId="30957" xr:uid="{00000000-0005-0000-0000-0000ED780000}"/>
    <cellStyle name="Normal 41 2 2 4 2" xfId="30958" xr:uid="{00000000-0005-0000-0000-0000EE780000}"/>
    <cellStyle name="Normal 41 2 2 4 2 2" xfId="30959" xr:uid="{00000000-0005-0000-0000-0000EF780000}"/>
    <cellStyle name="Normal 41 2 2 4 3" xfId="30960" xr:uid="{00000000-0005-0000-0000-0000F0780000}"/>
    <cellStyle name="Normal 41 2 2 5" xfId="30961" xr:uid="{00000000-0005-0000-0000-0000F1780000}"/>
    <cellStyle name="Normal 41 2 3" xfId="30962" xr:uid="{00000000-0005-0000-0000-0000F2780000}"/>
    <cellStyle name="Normal 41 2 3 2" xfId="30963" xr:uid="{00000000-0005-0000-0000-0000F3780000}"/>
    <cellStyle name="Normal 41 2 3 2 2" xfId="30964" xr:uid="{00000000-0005-0000-0000-0000F4780000}"/>
    <cellStyle name="Normal 41 2 3 3" xfId="30965" xr:uid="{00000000-0005-0000-0000-0000F5780000}"/>
    <cellStyle name="Normal 41 2 4" xfId="30966" xr:uid="{00000000-0005-0000-0000-0000F6780000}"/>
    <cellStyle name="Normal 41 2 4 2" xfId="30967" xr:uid="{00000000-0005-0000-0000-0000F7780000}"/>
    <cellStyle name="Normal 41 2 4 2 2" xfId="30968" xr:uid="{00000000-0005-0000-0000-0000F8780000}"/>
    <cellStyle name="Normal 41 2 4 3" xfId="30969" xr:uid="{00000000-0005-0000-0000-0000F9780000}"/>
    <cellStyle name="Normal 41 2 5" xfId="30970" xr:uid="{00000000-0005-0000-0000-0000FA780000}"/>
    <cellStyle name="Normal 41 2 5 2" xfId="30971" xr:uid="{00000000-0005-0000-0000-0000FB780000}"/>
    <cellStyle name="Normal 41 2 5 2 2" xfId="30972" xr:uid="{00000000-0005-0000-0000-0000FC780000}"/>
    <cellStyle name="Normal 41 2 5 3" xfId="30973" xr:uid="{00000000-0005-0000-0000-0000FD780000}"/>
    <cellStyle name="Normal 41 2 6" xfId="30974" xr:uid="{00000000-0005-0000-0000-0000FE780000}"/>
    <cellStyle name="Normal 41 3" xfId="30975" xr:uid="{00000000-0005-0000-0000-0000FF780000}"/>
    <cellStyle name="Normal 41 3 2" xfId="30976" xr:uid="{00000000-0005-0000-0000-000000790000}"/>
    <cellStyle name="Normal 41 3 2 2" xfId="30977" xr:uid="{00000000-0005-0000-0000-000001790000}"/>
    <cellStyle name="Normal 41 3 3" xfId="30978" xr:uid="{00000000-0005-0000-0000-000002790000}"/>
    <cellStyle name="Normal 41 3 3 2" xfId="30979" xr:uid="{00000000-0005-0000-0000-000003790000}"/>
    <cellStyle name="Normal 41 3 3 2 2" xfId="30980" xr:uid="{00000000-0005-0000-0000-000004790000}"/>
    <cellStyle name="Normal 41 3 3 3" xfId="30981" xr:uid="{00000000-0005-0000-0000-000005790000}"/>
    <cellStyle name="Normal 41 3 4" xfId="30982" xr:uid="{00000000-0005-0000-0000-000006790000}"/>
    <cellStyle name="Normal 41 3 4 2" xfId="30983" xr:uid="{00000000-0005-0000-0000-000007790000}"/>
    <cellStyle name="Normal 41 3 4 2 2" xfId="30984" xr:uid="{00000000-0005-0000-0000-000008790000}"/>
    <cellStyle name="Normal 41 3 4 3" xfId="30985" xr:uid="{00000000-0005-0000-0000-000009790000}"/>
    <cellStyle name="Normal 41 3 5" xfId="30986" xr:uid="{00000000-0005-0000-0000-00000A790000}"/>
    <cellStyle name="Normal 41 4" xfId="30987" xr:uid="{00000000-0005-0000-0000-00000B790000}"/>
    <cellStyle name="Normal 41 4 2" xfId="30988" xr:uid="{00000000-0005-0000-0000-00000C790000}"/>
    <cellStyle name="Normal 41 4 2 2" xfId="30989" xr:uid="{00000000-0005-0000-0000-00000D790000}"/>
    <cellStyle name="Normal 41 4 3" xfId="30990" xr:uid="{00000000-0005-0000-0000-00000E790000}"/>
    <cellStyle name="Normal 41 5" xfId="30991" xr:uid="{00000000-0005-0000-0000-00000F790000}"/>
    <cellStyle name="Normal 41 5 2" xfId="30992" xr:uid="{00000000-0005-0000-0000-000010790000}"/>
    <cellStyle name="Normal 41 5 2 2" xfId="30993" xr:uid="{00000000-0005-0000-0000-000011790000}"/>
    <cellStyle name="Normal 41 5 3" xfId="30994" xr:uid="{00000000-0005-0000-0000-000012790000}"/>
    <cellStyle name="Normal 41 6" xfId="30995" xr:uid="{00000000-0005-0000-0000-000013790000}"/>
    <cellStyle name="Normal 41 6 2" xfId="30996" xr:uid="{00000000-0005-0000-0000-000014790000}"/>
    <cellStyle name="Normal 41 6 2 2" xfId="30997" xr:uid="{00000000-0005-0000-0000-000015790000}"/>
    <cellStyle name="Normal 41 6 3" xfId="30998" xr:uid="{00000000-0005-0000-0000-000016790000}"/>
    <cellStyle name="Normal 41 7" xfId="30999" xr:uid="{00000000-0005-0000-0000-000017790000}"/>
    <cellStyle name="Normal 410" xfId="31000" xr:uid="{00000000-0005-0000-0000-000018790000}"/>
    <cellStyle name="Normal 410 2" xfId="31001" xr:uid="{00000000-0005-0000-0000-000019790000}"/>
    <cellStyle name="Normal 410 2 2" xfId="31002" xr:uid="{00000000-0005-0000-0000-00001A790000}"/>
    <cellStyle name="Normal 410 2 2 2" xfId="31003" xr:uid="{00000000-0005-0000-0000-00001B790000}"/>
    <cellStyle name="Normal 410 2 3" xfId="31004" xr:uid="{00000000-0005-0000-0000-00001C790000}"/>
    <cellStyle name="Normal 410 2 3 2" xfId="31005" xr:uid="{00000000-0005-0000-0000-00001D790000}"/>
    <cellStyle name="Normal 410 2 3 2 2" xfId="31006" xr:uid="{00000000-0005-0000-0000-00001E790000}"/>
    <cellStyle name="Normal 410 2 3 3" xfId="31007" xr:uid="{00000000-0005-0000-0000-00001F790000}"/>
    <cellStyle name="Normal 410 2 4" xfId="31008" xr:uid="{00000000-0005-0000-0000-000020790000}"/>
    <cellStyle name="Normal 410 2 4 2" xfId="31009" xr:uid="{00000000-0005-0000-0000-000021790000}"/>
    <cellStyle name="Normal 410 2 4 2 2" xfId="31010" xr:uid="{00000000-0005-0000-0000-000022790000}"/>
    <cellStyle name="Normal 410 2 4 3" xfId="31011" xr:uid="{00000000-0005-0000-0000-000023790000}"/>
    <cellStyle name="Normal 410 2 5" xfId="31012" xr:uid="{00000000-0005-0000-0000-000024790000}"/>
    <cellStyle name="Normal 410 3" xfId="31013" xr:uid="{00000000-0005-0000-0000-000025790000}"/>
    <cellStyle name="Normal 410 3 2" xfId="31014" xr:uid="{00000000-0005-0000-0000-000026790000}"/>
    <cellStyle name="Normal 410 3 2 2" xfId="31015" xr:uid="{00000000-0005-0000-0000-000027790000}"/>
    <cellStyle name="Normal 410 3 2 2 2" xfId="31016" xr:uid="{00000000-0005-0000-0000-000028790000}"/>
    <cellStyle name="Normal 410 3 2 3" xfId="31017" xr:uid="{00000000-0005-0000-0000-000029790000}"/>
    <cellStyle name="Normal 410 3 2 3 2" xfId="31018" xr:uid="{00000000-0005-0000-0000-00002A790000}"/>
    <cellStyle name="Normal 410 3 2 3 2 2" xfId="31019" xr:uid="{00000000-0005-0000-0000-00002B790000}"/>
    <cellStyle name="Normal 410 3 2 3 3" xfId="31020" xr:uid="{00000000-0005-0000-0000-00002C790000}"/>
    <cellStyle name="Normal 410 3 2 4" xfId="31021" xr:uid="{00000000-0005-0000-0000-00002D790000}"/>
    <cellStyle name="Normal 410 3 3" xfId="31022" xr:uid="{00000000-0005-0000-0000-00002E790000}"/>
    <cellStyle name="Normal 410 3 3 2" xfId="31023" xr:uid="{00000000-0005-0000-0000-00002F790000}"/>
    <cellStyle name="Normal 410 3 3 2 2" xfId="31024" xr:uid="{00000000-0005-0000-0000-000030790000}"/>
    <cellStyle name="Normal 410 3 3 3" xfId="31025" xr:uid="{00000000-0005-0000-0000-000031790000}"/>
    <cellStyle name="Normal 410 3 4" xfId="31026" xr:uid="{00000000-0005-0000-0000-000032790000}"/>
    <cellStyle name="Normal 410 3 4 2" xfId="31027" xr:uid="{00000000-0005-0000-0000-000033790000}"/>
    <cellStyle name="Normal 410 3 4 2 2" xfId="31028" xr:uid="{00000000-0005-0000-0000-000034790000}"/>
    <cellStyle name="Normal 410 3 4 3" xfId="31029" xr:uid="{00000000-0005-0000-0000-000035790000}"/>
    <cellStyle name="Normal 410 3 5" xfId="31030" xr:uid="{00000000-0005-0000-0000-000036790000}"/>
    <cellStyle name="Normal 410 3 5 2" xfId="31031" xr:uid="{00000000-0005-0000-0000-000037790000}"/>
    <cellStyle name="Normal 410 3 5 2 2" xfId="31032" xr:uid="{00000000-0005-0000-0000-000038790000}"/>
    <cellStyle name="Normal 410 3 5 3" xfId="31033" xr:uid="{00000000-0005-0000-0000-000039790000}"/>
    <cellStyle name="Normal 410 3 6" xfId="31034" xr:uid="{00000000-0005-0000-0000-00003A790000}"/>
    <cellStyle name="Normal 410 4" xfId="31035" xr:uid="{00000000-0005-0000-0000-00003B790000}"/>
    <cellStyle name="Normal 410 4 2" xfId="31036" xr:uid="{00000000-0005-0000-0000-00003C790000}"/>
    <cellStyle name="Normal 410 4 2 2" xfId="31037" xr:uid="{00000000-0005-0000-0000-00003D790000}"/>
    <cellStyle name="Normal 410 4 3" xfId="31038" xr:uid="{00000000-0005-0000-0000-00003E790000}"/>
    <cellStyle name="Normal 410 5" xfId="31039" xr:uid="{00000000-0005-0000-0000-00003F790000}"/>
    <cellStyle name="Normal 410 5 2" xfId="31040" xr:uid="{00000000-0005-0000-0000-000040790000}"/>
    <cellStyle name="Normal 410 5 2 2" xfId="31041" xr:uid="{00000000-0005-0000-0000-000041790000}"/>
    <cellStyle name="Normal 410 5 3" xfId="31042" xr:uid="{00000000-0005-0000-0000-000042790000}"/>
    <cellStyle name="Normal 410 6" xfId="31043" xr:uid="{00000000-0005-0000-0000-000043790000}"/>
    <cellStyle name="Normal 410 6 2" xfId="31044" xr:uid="{00000000-0005-0000-0000-000044790000}"/>
    <cellStyle name="Normal 410 6 2 2" xfId="31045" xr:uid="{00000000-0005-0000-0000-000045790000}"/>
    <cellStyle name="Normal 410 6 3" xfId="31046" xr:uid="{00000000-0005-0000-0000-000046790000}"/>
    <cellStyle name="Normal 410 7" xfId="31047" xr:uid="{00000000-0005-0000-0000-000047790000}"/>
    <cellStyle name="Normal 411" xfId="31048" xr:uid="{00000000-0005-0000-0000-000048790000}"/>
    <cellStyle name="Normal 411 2" xfId="31049" xr:uid="{00000000-0005-0000-0000-000049790000}"/>
    <cellStyle name="Normal 411 2 2" xfId="31050" xr:uid="{00000000-0005-0000-0000-00004A790000}"/>
    <cellStyle name="Normal 411 2 2 2" xfId="31051" xr:uid="{00000000-0005-0000-0000-00004B790000}"/>
    <cellStyle name="Normal 411 2 3" xfId="31052" xr:uid="{00000000-0005-0000-0000-00004C790000}"/>
    <cellStyle name="Normal 411 2 3 2" xfId="31053" xr:uid="{00000000-0005-0000-0000-00004D790000}"/>
    <cellStyle name="Normal 411 2 3 2 2" xfId="31054" xr:uid="{00000000-0005-0000-0000-00004E790000}"/>
    <cellStyle name="Normal 411 2 3 3" xfId="31055" xr:uid="{00000000-0005-0000-0000-00004F790000}"/>
    <cellStyle name="Normal 411 2 4" xfId="31056" xr:uid="{00000000-0005-0000-0000-000050790000}"/>
    <cellStyle name="Normal 411 2 4 2" xfId="31057" xr:uid="{00000000-0005-0000-0000-000051790000}"/>
    <cellStyle name="Normal 411 2 4 2 2" xfId="31058" xr:uid="{00000000-0005-0000-0000-000052790000}"/>
    <cellStyle name="Normal 411 2 4 3" xfId="31059" xr:uid="{00000000-0005-0000-0000-000053790000}"/>
    <cellStyle name="Normal 411 2 5" xfId="31060" xr:uid="{00000000-0005-0000-0000-000054790000}"/>
    <cellStyle name="Normal 411 3" xfId="31061" xr:uid="{00000000-0005-0000-0000-000055790000}"/>
    <cellStyle name="Normal 411 3 2" xfId="31062" xr:uid="{00000000-0005-0000-0000-000056790000}"/>
    <cellStyle name="Normal 411 3 2 2" xfId="31063" xr:uid="{00000000-0005-0000-0000-000057790000}"/>
    <cellStyle name="Normal 411 3 2 2 2" xfId="31064" xr:uid="{00000000-0005-0000-0000-000058790000}"/>
    <cellStyle name="Normal 411 3 2 3" xfId="31065" xr:uid="{00000000-0005-0000-0000-000059790000}"/>
    <cellStyle name="Normal 411 3 2 3 2" xfId="31066" xr:uid="{00000000-0005-0000-0000-00005A790000}"/>
    <cellStyle name="Normal 411 3 2 3 2 2" xfId="31067" xr:uid="{00000000-0005-0000-0000-00005B790000}"/>
    <cellStyle name="Normal 411 3 2 3 3" xfId="31068" xr:uid="{00000000-0005-0000-0000-00005C790000}"/>
    <cellStyle name="Normal 411 3 2 4" xfId="31069" xr:uid="{00000000-0005-0000-0000-00005D790000}"/>
    <cellStyle name="Normal 411 3 3" xfId="31070" xr:uid="{00000000-0005-0000-0000-00005E790000}"/>
    <cellStyle name="Normal 411 3 3 2" xfId="31071" xr:uid="{00000000-0005-0000-0000-00005F790000}"/>
    <cellStyle name="Normal 411 3 3 2 2" xfId="31072" xr:uid="{00000000-0005-0000-0000-000060790000}"/>
    <cellStyle name="Normal 411 3 3 3" xfId="31073" xr:uid="{00000000-0005-0000-0000-000061790000}"/>
    <cellStyle name="Normal 411 3 4" xfId="31074" xr:uid="{00000000-0005-0000-0000-000062790000}"/>
    <cellStyle name="Normal 411 3 4 2" xfId="31075" xr:uid="{00000000-0005-0000-0000-000063790000}"/>
    <cellStyle name="Normal 411 3 4 2 2" xfId="31076" xr:uid="{00000000-0005-0000-0000-000064790000}"/>
    <cellStyle name="Normal 411 3 4 3" xfId="31077" xr:uid="{00000000-0005-0000-0000-000065790000}"/>
    <cellStyle name="Normal 411 3 5" xfId="31078" xr:uid="{00000000-0005-0000-0000-000066790000}"/>
    <cellStyle name="Normal 411 3 5 2" xfId="31079" xr:uid="{00000000-0005-0000-0000-000067790000}"/>
    <cellStyle name="Normal 411 3 5 2 2" xfId="31080" xr:uid="{00000000-0005-0000-0000-000068790000}"/>
    <cellStyle name="Normal 411 3 5 3" xfId="31081" xr:uid="{00000000-0005-0000-0000-000069790000}"/>
    <cellStyle name="Normal 411 3 6" xfId="31082" xr:uid="{00000000-0005-0000-0000-00006A790000}"/>
    <cellStyle name="Normal 411 4" xfId="31083" xr:uid="{00000000-0005-0000-0000-00006B790000}"/>
    <cellStyle name="Normal 411 4 2" xfId="31084" xr:uid="{00000000-0005-0000-0000-00006C790000}"/>
    <cellStyle name="Normal 411 4 2 2" xfId="31085" xr:uid="{00000000-0005-0000-0000-00006D790000}"/>
    <cellStyle name="Normal 411 4 3" xfId="31086" xr:uid="{00000000-0005-0000-0000-00006E790000}"/>
    <cellStyle name="Normal 411 5" xfId="31087" xr:uid="{00000000-0005-0000-0000-00006F790000}"/>
    <cellStyle name="Normal 411 5 2" xfId="31088" xr:uid="{00000000-0005-0000-0000-000070790000}"/>
    <cellStyle name="Normal 411 5 2 2" xfId="31089" xr:uid="{00000000-0005-0000-0000-000071790000}"/>
    <cellStyle name="Normal 411 5 3" xfId="31090" xr:uid="{00000000-0005-0000-0000-000072790000}"/>
    <cellStyle name="Normal 411 6" xfId="31091" xr:uid="{00000000-0005-0000-0000-000073790000}"/>
    <cellStyle name="Normal 411 6 2" xfId="31092" xr:uid="{00000000-0005-0000-0000-000074790000}"/>
    <cellStyle name="Normal 411 6 2 2" xfId="31093" xr:uid="{00000000-0005-0000-0000-000075790000}"/>
    <cellStyle name="Normal 411 6 3" xfId="31094" xr:uid="{00000000-0005-0000-0000-000076790000}"/>
    <cellStyle name="Normal 411 7" xfId="31095" xr:uid="{00000000-0005-0000-0000-000077790000}"/>
    <cellStyle name="Normal 412" xfId="31096" xr:uid="{00000000-0005-0000-0000-000078790000}"/>
    <cellStyle name="Normal 412 2" xfId="31097" xr:uid="{00000000-0005-0000-0000-000079790000}"/>
    <cellStyle name="Normal 412 2 2" xfId="31098" xr:uid="{00000000-0005-0000-0000-00007A790000}"/>
    <cellStyle name="Normal 412 2 2 2" xfId="31099" xr:uid="{00000000-0005-0000-0000-00007B790000}"/>
    <cellStyle name="Normal 412 2 3" xfId="31100" xr:uid="{00000000-0005-0000-0000-00007C790000}"/>
    <cellStyle name="Normal 412 2 3 2" xfId="31101" xr:uid="{00000000-0005-0000-0000-00007D790000}"/>
    <cellStyle name="Normal 412 2 3 2 2" xfId="31102" xr:uid="{00000000-0005-0000-0000-00007E790000}"/>
    <cellStyle name="Normal 412 2 3 3" xfId="31103" xr:uid="{00000000-0005-0000-0000-00007F790000}"/>
    <cellStyle name="Normal 412 2 4" xfId="31104" xr:uid="{00000000-0005-0000-0000-000080790000}"/>
    <cellStyle name="Normal 412 2 4 2" xfId="31105" xr:uid="{00000000-0005-0000-0000-000081790000}"/>
    <cellStyle name="Normal 412 2 4 2 2" xfId="31106" xr:uid="{00000000-0005-0000-0000-000082790000}"/>
    <cellStyle name="Normal 412 2 4 3" xfId="31107" xr:uid="{00000000-0005-0000-0000-000083790000}"/>
    <cellStyle name="Normal 412 2 5" xfId="31108" xr:uid="{00000000-0005-0000-0000-000084790000}"/>
    <cellStyle name="Normal 412 3" xfId="31109" xr:uid="{00000000-0005-0000-0000-000085790000}"/>
    <cellStyle name="Normal 412 3 2" xfId="31110" xr:uid="{00000000-0005-0000-0000-000086790000}"/>
    <cellStyle name="Normal 412 3 2 2" xfId="31111" xr:uid="{00000000-0005-0000-0000-000087790000}"/>
    <cellStyle name="Normal 412 3 2 2 2" xfId="31112" xr:uid="{00000000-0005-0000-0000-000088790000}"/>
    <cellStyle name="Normal 412 3 2 3" xfId="31113" xr:uid="{00000000-0005-0000-0000-000089790000}"/>
    <cellStyle name="Normal 412 3 2 3 2" xfId="31114" xr:uid="{00000000-0005-0000-0000-00008A790000}"/>
    <cellStyle name="Normal 412 3 2 3 2 2" xfId="31115" xr:uid="{00000000-0005-0000-0000-00008B790000}"/>
    <cellStyle name="Normal 412 3 2 3 3" xfId="31116" xr:uid="{00000000-0005-0000-0000-00008C790000}"/>
    <cellStyle name="Normal 412 3 2 4" xfId="31117" xr:uid="{00000000-0005-0000-0000-00008D790000}"/>
    <cellStyle name="Normal 412 3 3" xfId="31118" xr:uid="{00000000-0005-0000-0000-00008E790000}"/>
    <cellStyle name="Normal 412 3 3 2" xfId="31119" xr:uid="{00000000-0005-0000-0000-00008F790000}"/>
    <cellStyle name="Normal 412 3 3 2 2" xfId="31120" xr:uid="{00000000-0005-0000-0000-000090790000}"/>
    <cellStyle name="Normal 412 3 3 3" xfId="31121" xr:uid="{00000000-0005-0000-0000-000091790000}"/>
    <cellStyle name="Normal 412 3 4" xfId="31122" xr:uid="{00000000-0005-0000-0000-000092790000}"/>
    <cellStyle name="Normal 412 3 4 2" xfId="31123" xr:uid="{00000000-0005-0000-0000-000093790000}"/>
    <cellStyle name="Normal 412 3 4 2 2" xfId="31124" xr:uid="{00000000-0005-0000-0000-000094790000}"/>
    <cellStyle name="Normal 412 3 4 3" xfId="31125" xr:uid="{00000000-0005-0000-0000-000095790000}"/>
    <cellStyle name="Normal 412 3 5" xfId="31126" xr:uid="{00000000-0005-0000-0000-000096790000}"/>
    <cellStyle name="Normal 412 3 5 2" xfId="31127" xr:uid="{00000000-0005-0000-0000-000097790000}"/>
    <cellStyle name="Normal 412 3 5 2 2" xfId="31128" xr:uid="{00000000-0005-0000-0000-000098790000}"/>
    <cellStyle name="Normal 412 3 5 3" xfId="31129" xr:uid="{00000000-0005-0000-0000-000099790000}"/>
    <cellStyle name="Normal 412 3 6" xfId="31130" xr:uid="{00000000-0005-0000-0000-00009A790000}"/>
    <cellStyle name="Normal 412 4" xfId="31131" xr:uid="{00000000-0005-0000-0000-00009B790000}"/>
    <cellStyle name="Normal 412 4 2" xfId="31132" xr:uid="{00000000-0005-0000-0000-00009C790000}"/>
    <cellStyle name="Normal 412 4 2 2" xfId="31133" xr:uid="{00000000-0005-0000-0000-00009D790000}"/>
    <cellStyle name="Normal 412 4 3" xfId="31134" xr:uid="{00000000-0005-0000-0000-00009E790000}"/>
    <cellStyle name="Normal 412 5" xfId="31135" xr:uid="{00000000-0005-0000-0000-00009F790000}"/>
    <cellStyle name="Normal 412 5 2" xfId="31136" xr:uid="{00000000-0005-0000-0000-0000A0790000}"/>
    <cellStyle name="Normal 412 5 2 2" xfId="31137" xr:uid="{00000000-0005-0000-0000-0000A1790000}"/>
    <cellStyle name="Normal 412 5 3" xfId="31138" xr:uid="{00000000-0005-0000-0000-0000A2790000}"/>
    <cellStyle name="Normal 412 6" xfId="31139" xr:uid="{00000000-0005-0000-0000-0000A3790000}"/>
    <cellStyle name="Normal 412 6 2" xfId="31140" xr:uid="{00000000-0005-0000-0000-0000A4790000}"/>
    <cellStyle name="Normal 412 6 2 2" xfId="31141" xr:uid="{00000000-0005-0000-0000-0000A5790000}"/>
    <cellStyle name="Normal 412 6 3" xfId="31142" xr:uid="{00000000-0005-0000-0000-0000A6790000}"/>
    <cellStyle name="Normal 412 7" xfId="31143" xr:uid="{00000000-0005-0000-0000-0000A7790000}"/>
    <cellStyle name="Normal 413" xfId="31144" xr:uid="{00000000-0005-0000-0000-0000A8790000}"/>
    <cellStyle name="Normal 413 2" xfId="31145" xr:uid="{00000000-0005-0000-0000-0000A9790000}"/>
    <cellStyle name="Normal 413 2 2" xfId="31146" xr:uid="{00000000-0005-0000-0000-0000AA790000}"/>
    <cellStyle name="Normal 413 2 2 2" xfId="31147" xr:uid="{00000000-0005-0000-0000-0000AB790000}"/>
    <cellStyle name="Normal 413 2 3" xfId="31148" xr:uid="{00000000-0005-0000-0000-0000AC790000}"/>
    <cellStyle name="Normal 413 2 3 2" xfId="31149" xr:uid="{00000000-0005-0000-0000-0000AD790000}"/>
    <cellStyle name="Normal 413 2 3 2 2" xfId="31150" xr:uid="{00000000-0005-0000-0000-0000AE790000}"/>
    <cellStyle name="Normal 413 2 3 3" xfId="31151" xr:uid="{00000000-0005-0000-0000-0000AF790000}"/>
    <cellStyle name="Normal 413 2 4" xfId="31152" xr:uid="{00000000-0005-0000-0000-0000B0790000}"/>
    <cellStyle name="Normal 413 2 4 2" xfId="31153" xr:uid="{00000000-0005-0000-0000-0000B1790000}"/>
    <cellStyle name="Normal 413 2 4 2 2" xfId="31154" xr:uid="{00000000-0005-0000-0000-0000B2790000}"/>
    <cellStyle name="Normal 413 2 4 3" xfId="31155" xr:uid="{00000000-0005-0000-0000-0000B3790000}"/>
    <cellStyle name="Normal 413 2 5" xfId="31156" xr:uid="{00000000-0005-0000-0000-0000B4790000}"/>
    <cellStyle name="Normal 413 3" xfId="31157" xr:uid="{00000000-0005-0000-0000-0000B5790000}"/>
    <cellStyle name="Normal 413 3 2" xfId="31158" xr:uid="{00000000-0005-0000-0000-0000B6790000}"/>
    <cellStyle name="Normal 413 3 2 2" xfId="31159" xr:uid="{00000000-0005-0000-0000-0000B7790000}"/>
    <cellStyle name="Normal 413 3 2 2 2" xfId="31160" xr:uid="{00000000-0005-0000-0000-0000B8790000}"/>
    <cellStyle name="Normal 413 3 2 3" xfId="31161" xr:uid="{00000000-0005-0000-0000-0000B9790000}"/>
    <cellStyle name="Normal 413 3 2 3 2" xfId="31162" xr:uid="{00000000-0005-0000-0000-0000BA790000}"/>
    <cellStyle name="Normal 413 3 2 3 2 2" xfId="31163" xr:uid="{00000000-0005-0000-0000-0000BB790000}"/>
    <cellStyle name="Normal 413 3 2 3 3" xfId="31164" xr:uid="{00000000-0005-0000-0000-0000BC790000}"/>
    <cellStyle name="Normal 413 3 2 4" xfId="31165" xr:uid="{00000000-0005-0000-0000-0000BD790000}"/>
    <cellStyle name="Normal 413 3 3" xfId="31166" xr:uid="{00000000-0005-0000-0000-0000BE790000}"/>
    <cellStyle name="Normal 413 3 3 2" xfId="31167" xr:uid="{00000000-0005-0000-0000-0000BF790000}"/>
    <cellStyle name="Normal 413 3 3 2 2" xfId="31168" xr:uid="{00000000-0005-0000-0000-0000C0790000}"/>
    <cellStyle name="Normal 413 3 3 3" xfId="31169" xr:uid="{00000000-0005-0000-0000-0000C1790000}"/>
    <cellStyle name="Normal 413 3 4" xfId="31170" xr:uid="{00000000-0005-0000-0000-0000C2790000}"/>
    <cellStyle name="Normal 413 3 4 2" xfId="31171" xr:uid="{00000000-0005-0000-0000-0000C3790000}"/>
    <cellStyle name="Normal 413 3 4 2 2" xfId="31172" xr:uid="{00000000-0005-0000-0000-0000C4790000}"/>
    <cellStyle name="Normal 413 3 4 3" xfId="31173" xr:uid="{00000000-0005-0000-0000-0000C5790000}"/>
    <cellStyle name="Normal 413 3 5" xfId="31174" xr:uid="{00000000-0005-0000-0000-0000C6790000}"/>
    <cellStyle name="Normal 413 3 5 2" xfId="31175" xr:uid="{00000000-0005-0000-0000-0000C7790000}"/>
    <cellStyle name="Normal 413 3 5 2 2" xfId="31176" xr:uid="{00000000-0005-0000-0000-0000C8790000}"/>
    <cellStyle name="Normal 413 3 5 3" xfId="31177" xr:uid="{00000000-0005-0000-0000-0000C9790000}"/>
    <cellStyle name="Normal 413 3 6" xfId="31178" xr:uid="{00000000-0005-0000-0000-0000CA790000}"/>
    <cellStyle name="Normal 413 4" xfId="31179" xr:uid="{00000000-0005-0000-0000-0000CB790000}"/>
    <cellStyle name="Normal 413 4 2" xfId="31180" xr:uid="{00000000-0005-0000-0000-0000CC790000}"/>
    <cellStyle name="Normal 413 4 2 2" xfId="31181" xr:uid="{00000000-0005-0000-0000-0000CD790000}"/>
    <cellStyle name="Normal 413 4 3" xfId="31182" xr:uid="{00000000-0005-0000-0000-0000CE790000}"/>
    <cellStyle name="Normal 413 5" xfId="31183" xr:uid="{00000000-0005-0000-0000-0000CF790000}"/>
    <cellStyle name="Normal 413 5 2" xfId="31184" xr:uid="{00000000-0005-0000-0000-0000D0790000}"/>
    <cellStyle name="Normal 413 5 2 2" xfId="31185" xr:uid="{00000000-0005-0000-0000-0000D1790000}"/>
    <cellStyle name="Normal 413 5 3" xfId="31186" xr:uid="{00000000-0005-0000-0000-0000D2790000}"/>
    <cellStyle name="Normal 413 6" xfId="31187" xr:uid="{00000000-0005-0000-0000-0000D3790000}"/>
    <cellStyle name="Normal 413 6 2" xfId="31188" xr:uid="{00000000-0005-0000-0000-0000D4790000}"/>
    <cellStyle name="Normal 413 6 2 2" xfId="31189" xr:uid="{00000000-0005-0000-0000-0000D5790000}"/>
    <cellStyle name="Normal 413 6 3" xfId="31190" xr:uid="{00000000-0005-0000-0000-0000D6790000}"/>
    <cellStyle name="Normal 413 7" xfId="31191" xr:uid="{00000000-0005-0000-0000-0000D7790000}"/>
    <cellStyle name="Normal 414" xfId="31192" xr:uid="{00000000-0005-0000-0000-0000D8790000}"/>
    <cellStyle name="Normal 414 2" xfId="31193" xr:uid="{00000000-0005-0000-0000-0000D9790000}"/>
    <cellStyle name="Normal 414 2 2" xfId="31194" xr:uid="{00000000-0005-0000-0000-0000DA790000}"/>
    <cellStyle name="Normal 414 2 2 2" xfId="31195" xr:uid="{00000000-0005-0000-0000-0000DB790000}"/>
    <cellStyle name="Normal 414 2 3" xfId="31196" xr:uid="{00000000-0005-0000-0000-0000DC790000}"/>
    <cellStyle name="Normal 414 2 3 2" xfId="31197" xr:uid="{00000000-0005-0000-0000-0000DD790000}"/>
    <cellStyle name="Normal 414 2 3 2 2" xfId="31198" xr:uid="{00000000-0005-0000-0000-0000DE790000}"/>
    <cellStyle name="Normal 414 2 3 3" xfId="31199" xr:uid="{00000000-0005-0000-0000-0000DF790000}"/>
    <cellStyle name="Normal 414 2 4" xfId="31200" xr:uid="{00000000-0005-0000-0000-0000E0790000}"/>
    <cellStyle name="Normal 414 2 4 2" xfId="31201" xr:uid="{00000000-0005-0000-0000-0000E1790000}"/>
    <cellStyle name="Normal 414 2 4 2 2" xfId="31202" xr:uid="{00000000-0005-0000-0000-0000E2790000}"/>
    <cellStyle name="Normal 414 2 4 3" xfId="31203" xr:uid="{00000000-0005-0000-0000-0000E3790000}"/>
    <cellStyle name="Normal 414 2 5" xfId="31204" xr:uid="{00000000-0005-0000-0000-0000E4790000}"/>
    <cellStyle name="Normal 414 3" xfId="31205" xr:uid="{00000000-0005-0000-0000-0000E5790000}"/>
    <cellStyle name="Normal 414 3 2" xfId="31206" xr:uid="{00000000-0005-0000-0000-0000E6790000}"/>
    <cellStyle name="Normal 414 3 2 2" xfId="31207" xr:uid="{00000000-0005-0000-0000-0000E7790000}"/>
    <cellStyle name="Normal 414 3 2 2 2" xfId="31208" xr:uid="{00000000-0005-0000-0000-0000E8790000}"/>
    <cellStyle name="Normal 414 3 2 3" xfId="31209" xr:uid="{00000000-0005-0000-0000-0000E9790000}"/>
    <cellStyle name="Normal 414 3 2 3 2" xfId="31210" xr:uid="{00000000-0005-0000-0000-0000EA790000}"/>
    <cellStyle name="Normal 414 3 2 3 2 2" xfId="31211" xr:uid="{00000000-0005-0000-0000-0000EB790000}"/>
    <cellStyle name="Normal 414 3 2 3 3" xfId="31212" xr:uid="{00000000-0005-0000-0000-0000EC790000}"/>
    <cellStyle name="Normal 414 3 2 4" xfId="31213" xr:uid="{00000000-0005-0000-0000-0000ED790000}"/>
    <cellStyle name="Normal 414 3 3" xfId="31214" xr:uid="{00000000-0005-0000-0000-0000EE790000}"/>
    <cellStyle name="Normal 414 3 3 2" xfId="31215" xr:uid="{00000000-0005-0000-0000-0000EF790000}"/>
    <cellStyle name="Normal 414 3 3 2 2" xfId="31216" xr:uid="{00000000-0005-0000-0000-0000F0790000}"/>
    <cellStyle name="Normal 414 3 3 3" xfId="31217" xr:uid="{00000000-0005-0000-0000-0000F1790000}"/>
    <cellStyle name="Normal 414 3 4" xfId="31218" xr:uid="{00000000-0005-0000-0000-0000F2790000}"/>
    <cellStyle name="Normal 414 3 4 2" xfId="31219" xr:uid="{00000000-0005-0000-0000-0000F3790000}"/>
    <cellStyle name="Normal 414 3 4 2 2" xfId="31220" xr:uid="{00000000-0005-0000-0000-0000F4790000}"/>
    <cellStyle name="Normal 414 3 4 3" xfId="31221" xr:uid="{00000000-0005-0000-0000-0000F5790000}"/>
    <cellStyle name="Normal 414 3 5" xfId="31222" xr:uid="{00000000-0005-0000-0000-0000F6790000}"/>
    <cellStyle name="Normal 414 3 5 2" xfId="31223" xr:uid="{00000000-0005-0000-0000-0000F7790000}"/>
    <cellStyle name="Normal 414 3 5 2 2" xfId="31224" xr:uid="{00000000-0005-0000-0000-0000F8790000}"/>
    <cellStyle name="Normal 414 3 5 3" xfId="31225" xr:uid="{00000000-0005-0000-0000-0000F9790000}"/>
    <cellStyle name="Normal 414 3 6" xfId="31226" xr:uid="{00000000-0005-0000-0000-0000FA790000}"/>
    <cellStyle name="Normal 414 4" xfId="31227" xr:uid="{00000000-0005-0000-0000-0000FB790000}"/>
    <cellStyle name="Normal 414 4 2" xfId="31228" xr:uid="{00000000-0005-0000-0000-0000FC790000}"/>
    <cellStyle name="Normal 414 4 2 2" xfId="31229" xr:uid="{00000000-0005-0000-0000-0000FD790000}"/>
    <cellStyle name="Normal 414 4 3" xfId="31230" xr:uid="{00000000-0005-0000-0000-0000FE790000}"/>
    <cellStyle name="Normal 414 5" xfId="31231" xr:uid="{00000000-0005-0000-0000-0000FF790000}"/>
    <cellStyle name="Normal 414 5 2" xfId="31232" xr:uid="{00000000-0005-0000-0000-0000007A0000}"/>
    <cellStyle name="Normal 414 5 2 2" xfId="31233" xr:uid="{00000000-0005-0000-0000-0000017A0000}"/>
    <cellStyle name="Normal 414 5 3" xfId="31234" xr:uid="{00000000-0005-0000-0000-0000027A0000}"/>
    <cellStyle name="Normal 414 6" xfId="31235" xr:uid="{00000000-0005-0000-0000-0000037A0000}"/>
    <cellStyle name="Normal 414 6 2" xfId="31236" xr:uid="{00000000-0005-0000-0000-0000047A0000}"/>
    <cellStyle name="Normal 414 6 2 2" xfId="31237" xr:uid="{00000000-0005-0000-0000-0000057A0000}"/>
    <cellStyle name="Normal 414 6 3" xfId="31238" xr:uid="{00000000-0005-0000-0000-0000067A0000}"/>
    <cellStyle name="Normal 414 7" xfId="31239" xr:uid="{00000000-0005-0000-0000-0000077A0000}"/>
    <cellStyle name="Normal 415" xfId="31240" xr:uid="{00000000-0005-0000-0000-0000087A0000}"/>
    <cellStyle name="Normal 415 2" xfId="31241" xr:uid="{00000000-0005-0000-0000-0000097A0000}"/>
    <cellStyle name="Normal 415 2 2" xfId="31242" xr:uid="{00000000-0005-0000-0000-00000A7A0000}"/>
    <cellStyle name="Normal 415 2 2 2" xfId="31243" xr:uid="{00000000-0005-0000-0000-00000B7A0000}"/>
    <cellStyle name="Normal 415 2 3" xfId="31244" xr:uid="{00000000-0005-0000-0000-00000C7A0000}"/>
    <cellStyle name="Normal 415 2 3 2" xfId="31245" xr:uid="{00000000-0005-0000-0000-00000D7A0000}"/>
    <cellStyle name="Normal 415 2 3 2 2" xfId="31246" xr:uid="{00000000-0005-0000-0000-00000E7A0000}"/>
    <cellStyle name="Normal 415 2 3 3" xfId="31247" xr:uid="{00000000-0005-0000-0000-00000F7A0000}"/>
    <cellStyle name="Normal 415 2 4" xfId="31248" xr:uid="{00000000-0005-0000-0000-0000107A0000}"/>
    <cellStyle name="Normal 415 2 4 2" xfId="31249" xr:uid="{00000000-0005-0000-0000-0000117A0000}"/>
    <cellStyle name="Normal 415 2 4 2 2" xfId="31250" xr:uid="{00000000-0005-0000-0000-0000127A0000}"/>
    <cellStyle name="Normal 415 2 4 3" xfId="31251" xr:uid="{00000000-0005-0000-0000-0000137A0000}"/>
    <cellStyle name="Normal 415 2 5" xfId="31252" xr:uid="{00000000-0005-0000-0000-0000147A0000}"/>
    <cellStyle name="Normal 415 3" xfId="31253" xr:uid="{00000000-0005-0000-0000-0000157A0000}"/>
    <cellStyle name="Normal 415 3 2" xfId="31254" xr:uid="{00000000-0005-0000-0000-0000167A0000}"/>
    <cellStyle name="Normal 415 3 2 2" xfId="31255" xr:uid="{00000000-0005-0000-0000-0000177A0000}"/>
    <cellStyle name="Normal 415 3 2 2 2" xfId="31256" xr:uid="{00000000-0005-0000-0000-0000187A0000}"/>
    <cellStyle name="Normal 415 3 2 3" xfId="31257" xr:uid="{00000000-0005-0000-0000-0000197A0000}"/>
    <cellStyle name="Normal 415 3 2 3 2" xfId="31258" xr:uid="{00000000-0005-0000-0000-00001A7A0000}"/>
    <cellStyle name="Normal 415 3 2 3 2 2" xfId="31259" xr:uid="{00000000-0005-0000-0000-00001B7A0000}"/>
    <cellStyle name="Normal 415 3 2 3 3" xfId="31260" xr:uid="{00000000-0005-0000-0000-00001C7A0000}"/>
    <cellStyle name="Normal 415 3 2 4" xfId="31261" xr:uid="{00000000-0005-0000-0000-00001D7A0000}"/>
    <cellStyle name="Normal 415 3 3" xfId="31262" xr:uid="{00000000-0005-0000-0000-00001E7A0000}"/>
    <cellStyle name="Normal 415 3 3 2" xfId="31263" xr:uid="{00000000-0005-0000-0000-00001F7A0000}"/>
    <cellStyle name="Normal 415 3 3 2 2" xfId="31264" xr:uid="{00000000-0005-0000-0000-0000207A0000}"/>
    <cellStyle name="Normal 415 3 3 3" xfId="31265" xr:uid="{00000000-0005-0000-0000-0000217A0000}"/>
    <cellStyle name="Normal 415 3 4" xfId="31266" xr:uid="{00000000-0005-0000-0000-0000227A0000}"/>
    <cellStyle name="Normal 415 3 4 2" xfId="31267" xr:uid="{00000000-0005-0000-0000-0000237A0000}"/>
    <cellStyle name="Normal 415 3 4 2 2" xfId="31268" xr:uid="{00000000-0005-0000-0000-0000247A0000}"/>
    <cellStyle name="Normal 415 3 4 3" xfId="31269" xr:uid="{00000000-0005-0000-0000-0000257A0000}"/>
    <cellStyle name="Normal 415 3 5" xfId="31270" xr:uid="{00000000-0005-0000-0000-0000267A0000}"/>
    <cellStyle name="Normal 415 3 5 2" xfId="31271" xr:uid="{00000000-0005-0000-0000-0000277A0000}"/>
    <cellStyle name="Normal 415 3 5 2 2" xfId="31272" xr:uid="{00000000-0005-0000-0000-0000287A0000}"/>
    <cellStyle name="Normal 415 3 5 3" xfId="31273" xr:uid="{00000000-0005-0000-0000-0000297A0000}"/>
    <cellStyle name="Normal 415 3 6" xfId="31274" xr:uid="{00000000-0005-0000-0000-00002A7A0000}"/>
    <cellStyle name="Normal 415 4" xfId="31275" xr:uid="{00000000-0005-0000-0000-00002B7A0000}"/>
    <cellStyle name="Normal 415 4 2" xfId="31276" xr:uid="{00000000-0005-0000-0000-00002C7A0000}"/>
    <cellStyle name="Normal 415 4 2 2" xfId="31277" xr:uid="{00000000-0005-0000-0000-00002D7A0000}"/>
    <cellStyle name="Normal 415 4 3" xfId="31278" xr:uid="{00000000-0005-0000-0000-00002E7A0000}"/>
    <cellStyle name="Normal 415 5" xfId="31279" xr:uid="{00000000-0005-0000-0000-00002F7A0000}"/>
    <cellStyle name="Normal 415 5 2" xfId="31280" xr:uid="{00000000-0005-0000-0000-0000307A0000}"/>
    <cellStyle name="Normal 415 5 2 2" xfId="31281" xr:uid="{00000000-0005-0000-0000-0000317A0000}"/>
    <cellStyle name="Normal 415 5 3" xfId="31282" xr:uid="{00000000-0005-0000-0000-0000327A0000}"/>
    <cellStyle name="Normal 415 6" xfId="31283" xr:uid="{00000000-0005-0000-0000-0000337A0000}"/>
    <cellStyle name="Normal 415 6 2" xfId="31284" xr:uid="{00000000-0005-0000-0000-0000347A0000}"/>
    <cellStyle name="Normal 415 6 2 2" xfId="31285" xr:uid="{00000000-0005-0000-0000-0000357A0000}"/>
    <cellStyle name="Normal 415 6 3" xfId="31286" xr:uid="{00000000-0005-0000-0000-0000367A0000}"/>
    <cellStyle name="Normal 415 7" xfId="31287" xr:uid="{00000000-0005-0000-0000-0000377A0000}"/>
    <cellStyle name="Normal 416" xfId="31288" xr:uid="{00000000-0005-0000-0000-0000387A0000}"/>
    <cellStyle name="Normal 416 2" xfId="31289" xr:uid="{00000000-0005-0000-0000-0000397A0000}"/>
    <cellStyle name="Normal 416 2 2" xfId="31290" xr:uid="{00000000-0005-0000-0000-00003A7A0000}"/>
    <cellStyle name="Normal 416 2 2 2" xfId="31291" xr:uid="{00000000-0005-0000-0000-00003B7A0000}"/>
    <cellStyle name="Normal 416 2 3" xfId="31292" xr:uid="{00000000-0005-0000-0000-00003C7A0000}"/>
    <cellStyle name="Normal 416 2 3 2" xfId="31293" xr:uid="{00000000-0005-0000-0000-00003D7A0000}"/>
    <cellStyle name="Normal 416 2 3 2 2" xfId="31294" xr:uid="{00000000-0005-0000-0000-00003E7A0000}"/>
    <cellStyle name="Normal 416 2 3 3" xfId="31295" xr:uid="{00000000-0005-0000-0000-00003F7A0000}"/>
    <cellStyle name="Normal 416 2 4" xfId="31296" xr:uid="{00000000-0005-0000-0000-0000407A0000}"/>
    <cellStyle name="Normal 416 2 4 2" xfId="31297" xr:uid="{00000000-0005-0000-0000-0000417A0000}"/>
    <cellStyle name="Normal 416 2 4 2 2" xfId="31298" xr:uid="{00000000-0005-0000-0000-0000427A0000}"/>
    <cellStyle name="Normal 416 2 4 3" xfId="31299" xr:uid="{00000000-0005-0000-0000-0000437A0000}"/>
    <cellStyle name="Normal 416 2 5" xfId="31300" xr:uid="{00000000-0005-0000-0000-0000447A0000}"/>
    <cellStyle name="Normal 416 3" xfId="31301" xr:uid="{00000000-0005-0000-0000-0000457A0000}"/>
    <cellStyle name="Normal 416 3 2" xfId="31302" xr:uid="{00000000-0005-0000-0000-0000467A0000}"/>
    <cellStyle name="Normal 416 3 2 2" xfId="31303" xr:uid="{00000000-0005-0000-0000-0000477A0000}"/>
    <cellStyle name="Normal 416 3 2 2 2" xfId="31304" xr:uid="{00000000-0005-0000-0000-0000487A0000}"/>
    <cellStyle name="Normal 416 3 2 3" xfId="31305" xr:uid="{00000000-0005-0000-0000-0000497A0000}"/>
    <cellStyle name="Normal 416 3 2 3 2" xfId="31306" xr:uid="{00000000-0005-0000-0000-00004A7A0000}"/>
    <cellStyle name="Normal 416 3 2 3 2 2" xfId="31307" xr:uid="{00000000-0005-0000-0000-00004B7A0000}"/>
    <cellStyle name="Normal 416 3 2 3 3" xfId="31308" xr:uid="{00000000-0005-0000-0000-00004C7A0000}"/>
    <cellStyle name="Normal 416 3 2 4" xfId="31309" xr:uid="{00000000-0005-0000-0000-00004D7A0000}"/>
    <cellStyle name="Normal 416 3 3" xfId="31310" xr:uid="{00000000-0005-0000-0000-00004E7A0000}"/>
    <cellStyle name="Normal 416 3 3 2" xfId="31311" xr:uid="{00000000-0005-0000-0000-00004F7A0000}"/>
    <cellStyle name="Normal 416 3 3 2 2" xfId="31312" xr:uid="{00000000-0005-0000-0000-0000507A0000}"/>
    <cellStyle name="Normal 416 3 3 3" xfId="31313" xr:uid="{00000000-0005-0000-0000-0000517A0000}"/>
    <cellStyle name="Normal 416 3 4" xfId="31314" xr:uid="{00000000-0005-0000-0000-0000527A0000}"/>
    <cellStyle name="Normal 416 3 4 2" xfId="31315" xr:uid="{00000000-0005-0000-0000-0000537A0000}"/>
    <cellStyle name="Normal 416 3 4 2 2" xfId="31316" xr:uid="{00000000-0005-0000-0000-0000547A0000}"/>
    <cellStyle name="Normal 416 3 4 3" xfId="31317" xr:uid="{00000000-0005-0000-0000-0000557A0000}"/>
    <cellStyle name="Normal 416 3 5" xfId="31318" xr:uid="{00000000-0005-0000-0000-0000567A0000}"/>
    <cellStyle name="Normal 416 3 5 2" xfId="31319" xr:uid="{00000000-0005-0000-0000-0000577A0000}"/>
    <cellStyle name="Normal 416 3 5 2 2" xfId="31320" xr:uid="{00000000-0005-0000-0000-0000587A0000}"/>
    <cellStyle name="Normal 416 3 5 3" xfId="31321" xr:uid="{00000000-0005-0000-0000-0000597A0000}"/>
    <cellStyle name="Normal 416 3 6" xfId="31322" xr:uid="{00000000-0005-0000-0000-00005A7A0000}"/>
    <cellStyle name="Normal 416 4" xfId="31323" xr:uid="{00000000-0005-0000-0000-00005B7A0000}"/>
    <cellStyle name="Normal 416 4 2" xfId="31324" xr:uid="{00000000-0005-0000-0000-00005C7A0000}"/>
    <cellStyle name="Normal 416 4 2 2" xfId="31325" xr:uid="{00000000-0005-0000-0000-00005D7A0000}"/>
    <cellStyle name="Normal 416 4 3" xfId="31326" xr:uid="{00000000-0005-0000-0000-00005E7A0000}"/>
    <cellStyle name="Normal 416 5" xfId="31327" xr:uid="{00000000-0005-0000-0000-00005F7A0000}"/>
    <cellStyle name="Normal 416 5 2" xfId="31328" xr:uid="{00000000-0005-0000-0000-0000607A0000}"/>
    <cellStyle name="Normal 416 5 2 2" xfId="31329" xr:uid="{00000000-0005-0000-0000-0000617A0000}"/>
    <cellStyle name="Normal 416 5 3" xfId="31330" xr:uid="{00000000-0005-0000-0000-0000627A0000}"/>
    <cellStyle name="Normal 416 6" xfId="31331" xr:uid="{00000000-0005-0000-0000-0000637A0000}"/>
    <cellStyle name="Normal 416 6 2" xfId="31332" xr:uid="{00000000-0005-0000-0000-0000647A0000}"/>
    <cellStyle name="Normal 416 6 2 2" xfId="31333" xr:uid="{00000000-0005-0000-0000-0000657A0000}"/>
    <cellStyle name="Normal 416 6 3" xfId="31334" xr:uid="{00000000-0005-0000-0000-0000667A0000}"/>
    <cellStyle name="Normal 416 7" xfId="31335" xr:uid="{00000000-0005-0000-0000-0000677A0000}"/>
    <cellStyle name="Normal 417" xfId="31336" xr:uid="{00000000-0005-0000-0000-0000687A0000}"/>
    <cellStyle name="Normal 417 2" xfId="31337" xr:uid="{00000000-0005-0000-0000-0000697A0000}"/>
    <cellStyle name="Normal 417 2 2" xfId="31338" xr:uid="{00000000-0005-0000-0000-00006A7A0000}"/>
    <cellStyle name="Normal 417 2 2 2" xfId="31339" xr:uid="{00000000-0005-0000-0000-00006B7A0000}"/>
    <cellStyle name="Normal 417 2 3" xfId="31340" xr:uid="{00000000-0005-0000-0000-00006C7A0000}"/>
    <cellStyle name="Normal 417 2 3 2" xfId="31341" xr:uid="{00000000-0005-0000-0000-00006D7A0000}"/>
    <cellStyle name="Normal 417 2 3 2 2" xfId="31342" xr:uid="{00000000-0005-0000-0000-00006E7A0000}"/>
    <cellStyle name="Normal 417 2 3 3" xfId="31343" xr:uid="{00000000-0005-0000-0000-00006F7A0000}"/>
    <cellStyle name="Normal 417 2 4" xfId="31344" xr:uid="{00000000-0005-0000-0000-0000707A0000}"/>
    <cellStyle name="Normal 417 2 4 2" xfId="31345" xr:uid="{00000000-0005-0000-0000-0000717A0000}"/>
    <cellStyle name="Normal 417 2 4 2 2" xfId="31346" xr:uid="{00000000-0005-0000-0000-0000727A0000}"/>
    <cellStyle name="Normal 417 2 4 3" xfId="31347" xr:uid="{00000000-0005-0000-0000-0000737A0000}"/>
    <cellStyle name="Normal 417 2 5" xfId="31348" xr:uid="{00000000-0005-0000-0000-0000747A0000}"/>
    <cellStyle name="Normal 417 3" xfId="31349" xr:uid="{00000000-0005-0000-0000-0000757A0000}"/>
    <cellStyle name="Normal 417 3 2" xfId="31350" xr:uid="{00000000-0005-0000-0000-0000767A0000}"/>
    <cellStyle name="Normal 417 3 2 2" xfId="31351" xr:uid="{00000000-0005-0000-0000-0000777A0000}"/>
    <cellStyle name="Normal 417 3 2 2 2" xfId="31352" xr:uid="{00000000-0005-0000-0000-0000787A0000}"/>
    <cellStyle name="Normal 417 3 2 3" xfId="31353" xr:uid="{00000000-0005-0000-0000-0000797A0000}"/>
    <cellStyle name="Normal 417 3 2 3 2" xfId="31354" xr:uid="{00000000-0005-0000-0000-00007A7A0000}"/>
    <cellStyle name="Normal 417 3 2 3 2 2" xfId="31355" xr:uid="{00000000-0005-0000-0000-00007B7A0000}"/>
    <cellStyle name="Normal 417 3 2 3 3" xfId="31356" xr:uid="{00000000-0005-0000-0000-00007C7A0000}"/>
    <cellStyle name="Normal 417 3 2 4" xfId="31357" xr:uid="{00000000-0005-0000-0000-00007D7A0000}"/>
    <cellStyle name="Normal 417 3 3" xfId="31358" xr:uid="{00000000-0005-0000-0000-00007E7A0000}"/>
    <cellStyle name="Normal 417 3 3 2" xfId="31359" xr:uid="{00000000-0005-0000-0000-00007F7A0000}"/>
    <cellStyle name="Normal 417 3 3 2 2" xfId="31360" xr:uid="{00000000-0005-0000-0000-0000807A0000}"/>
    <cellStyle name="Normal 417 3 3 3" xfId="31361" xr:uid="{00000000-0005-0000-0000-0000817A0000}"/>
    <cellStyle name="Normal 417 3 4" xfId="31362" xr:uid="{00000000-0005-0000-0000-0000827A0000}"/>
    <cellStyle name="Normal 417 3 4 2" xfId="31363" xr:uid="{00000000-0005-0000-0000-0000837A0000}"/>
    <cellStyle name="Normal 417 3 4 2 2" xfId="31364" xr:uid="{00000000-0005-0000-0000-0000847A0000}"/>
    <cellStyle name="Normal 417 3 4 3" xfId="31365" xr:uid="{00000000-0005-0000-0000-0000857A0000}"/>
    <cellStyle name="Normal 417 3 5" xfId="31366" xr:uid="{00000000-0005-0000-0000-0000867A0000}"/>
    <cellStyle name="Normal 417 3 5 2" xfId="31367" xr:uid="{00000000-0005-0000-0000-0000877A0000}"/>
    <cellStyle name="Normal 417 3 5 2 2" xfId="31368" xr:uid="{00000000-0005-0000-0000-0000887A0000}"/>
    <cellStyle name="Normal 417 3 5 3" xfId="31369" xr:uid="{00000000-0005-0000-0000-0000897A0000}"/>
    <cellStyle name="Normal 417 3 6" xfId="31370" xr:uid="{00000000-0005-0000-0000-00008A7A0000}"/>
    <cellStyle name="Normal 417 4" xfId="31371" xr:uid="{00000000-0005-0000-0000-00008B7A0000}"/>
    <cellStyle name="Normal 417 4 2" xfId="31372" xr:uid="{00000000-0005-0000-0000-00008C7A0000}"/>
    <cellStyle name="Normal 417 4 2 2" xfId="31373" xr:uid="{00000000-0005-0000-0000-00008D7A0000}"/>
    <cellStyle name="Normal 417 4 3" xfId="31374" xr:uid="{00000000-0005-0000-0000-00008E7A0000}"/>
    <cellStyle name="Normal 417 5" xfId="31375" xr:uid="{00000000-0005-0000-0000-00008F7A0000}"/>
    <cellStyle name="Normal 417 5 2" xfId="31376" xr:uid="{00000000-0005-0000-0000-0000907A0000}"/>
    <cellStyle name="Normal 417 5 2 2" xfId="31377" xr:uid="{00000000-0005-0000-0000-0000917A0000}"/>
    <cellStyle name="Normal 417 5 3" xfId="31378" xr:uid="{00000000-0005-0000-0000-0000927A0000}"/>
    <cellStyle name="Normal 417 6" xfId="31379" xr:uid="{00000000-0005-0000-0000-0000937A0000}"/>
    <cellStyle name="Normal 417 6 2" xfId="31380" xr:uid="{00000000-0005-0000-0000-0000947A0000}"/>
    <cellStyle name="Normal 417 6 2 2" xfId="31381" xr:uid="{00000000-0005-0000-0000-0000957A0000}"/>
    <cellStyle name="Normal 417 6 3" xfId="31382" xr:uid="{00000000-0005-0000-0000-0000967A0000}"/>
    <cellStyle name="Normal 417 7" xfId="31383" xr:uid="{00000000-0005-0000-0000-0000977A0000}"/>
    <cellStyle name="Normal 418" xfId="31384" xr:uid="{00000000-0005-0000-0000-0000987A0000}"/>
    <cellStyle name="Normal 418 2" xfId="31385" xr:uid="{00000000-0005-0000-0000-0000997A0000}"/>
    <cellStyle name="Normal 418 2 2" xfId="31386" xr:uid="{00000000-0005-0000-0000-00009A7A0000}"/>
    <cellStyle name="Normal 418 2 2 2" xfId="31387" xr:uid="{00000000-0005-0000-0000-00009B7A0000}"/>
    <cellStyle name="Normal 418 2 3" xfId="31388" xr:uid="{00000000-0005-0000-0000-00009C7A0000}"/>
    <cellStyle name="Normal 418 2 3 2" xfId="31389" xr:uid="{00000000-0005-0000-0000-00009D7A0000}"/>
    <cellStyle name="Normal 418 2 3 2 2" xfId="31390" xr:uid="{00000000-0005-0000-0000-00009E7A0000}"/>
    <cellStyle name="Normal 418 2 3 3" xfId="31391" xr:uid="{00000000-0005-0000-0000-00009F7A0000}"/>
    <cellStyle name="Normal 418 2 4" xfId="31392" xr:uid="{00000000-0005-0000-0000-0000A07A0000}"/>
    <cellStyle name="Normal 418 2 4 2" xfId="31393" xr:uid="{00000000-0005-0000-0000-0000A17A0000}"/>
    <cellStyle name="Normal 418 2 4 2 2" xfId="31394" xr:uid="{00000000-0005-0000-0000-0000A27A0000}"/>
    <cellStyle name="Normal 418 2 4 3" xfId="31395" xr:uid="{00000000-0005-0000-0000-0000A37A0000}"/>
    <cellStyle name="Normal 418 2 5" xfId="31396" xr:uid="{00000000-0005-0000-0000-0000A47A0000}"/>
    <cellStyle name="Normal 418 3" xfId="31397" xr:uid="{00000000-0005-0000-0000-0000A57A0000}"/>
    <cellStyle name="Normal 418 3 2" xfId="31398" xr:uid="{00000000-0005-0000-0000-0000A67A0000}"/>
    <cellStyle name="Normal 418 3 2 2" xfId="31399" xr:uid="{00000000-0005-0000-0000-0000A77A0000}"/>
    <cellStyle name="Normal 418 3 2 2 2" xfId="31400" xr:uid="{00000000-0005-0000-0000-0000A87A0000}"/>
    <cellStyle name="Normal 418 3 2 3" xfId="31401" xr:uid="{00000000-0005-0000-0000-0000A97A0000}"/>
    <cellStyle name="Normal 418 3 2 3 2" xfId="31402" xr:uid="{00000000-0005-0000-0000-0000AA7A0000}"/>
    <cellStyle name="Normal 418 3 2 3 2 2" xfId="31403" xr:uid="{00000000-0005-0000-0000-0000AB7A0000}"/>
    <cellStyle name="Normal 418 3 2 3 3" xfId="31404" xr:uid="{00000000-0005-0000-0000-0000AC7A0000}"/>
    <cellStyle name="Normal 418 3 2 4" xfId="31405" xr:uid="{00000000-0005-0000-0000-0000AD7A0000}"/>
    <cellStyle name="Normal 418 3 3" xfId="31406" xr:uid="{00000000-0005-0000-0000-0000AE7A0000}"/>
    <cellStyle name="Normal 418 3 3 2" xfId="31407" xr:uid="{00000000-0005-0000-0000-0000AF7A0000}"/>
    <cellStyle name="Normal 418 3 3 2 2" xfId="31408" xr:uid="{00000000-0005-0000-0000-0000B07A0000}"/>
    <cellStyle name="Normal 418 3 3 3" xfId="31409" xr:uid="{00000000-0005-0000-0000-0000B17A0000}"/>
    <cellStyle name="Normal 418 3 4" xfId="31410" xr:uid="{00000000-0005-0000-0000-0000B27A0000}"/>
    <cellStyle name="Normal 418 3 4 2" xfId="31411" xr:uid="{00000000-0005-0000-0000-0000B37A0000}"/>
    <cellStyle name="Normal 418 3 4 2 2" xfId="31412" xr:uid="{00000000-0005-0000-0000-0000B47A0000}"/>
    <cellStyle name="Normal 418 3 4 3" xfId="31413" xr:uid="{00000000-0005-0000-0000-0000B57A0000}"/>
    <cellStyle name="Normal 418 3 5" xfId="31414" xr:uid="{00000000-0005-0000-0000-0000B67A0000}"/>
    <cellStyle name="Normal 418 3 5 2" xfId="31415" xr:uid="{00000000-0005-0000-0000-0000B77A0000}"/>
    <cellStyle name="Normal 418 3 5 2 2" xfId="31416" xr:uid="{00000000-0005-0000-0000-0000B87A0000}"/>
    <cellStyle name="Normal 418 3 5 3" xfId="31417" xr:uid="{00000000-0005-0000-0000-0000B97A0000}"/>
    <cellStyle name="Normal 418 3 6" xfId="31418" xr:uid="{00000000-0005-0000-0000-0000BA7A0000}"/>
    <cellStyle name="Normal 418 4" xfId="31419" xr:uid="{00000000-0005-0000-0000-0000BB7A0000}"/>
    <cellStyle name="Normal 418 4 2" xfId="31420" xr:uid="{00000000-0005-0000-0000-0000BC7A0000}"/>
    <cellStyle name="Normal 418 4 2 2" xfId="31421" xr:uid="{00000000-0005-0000-0000-0000BD7A0000}"/>
    <cellStyle name="Normal 418 4 3" xfId="31422" xr:uid="{00000000-0005-0000-0000-0000BE7A0000}"/>
    <cellStyle name="Normal 418 5" xfId="31423" xr:uid="{00000000-0005-0000-0000-0000BF7A0000}"/>
    <cellStyle name="Normal 418 5 2" xfId="31424" xr:uid="{00000000-0005-0000-0000-0000C07A0000}"/>
    <cellStyle name="Normal 418 5 2 2" xfId="31425" xr:uid="{00000000-0005-0000-0000-0000C17A0000}"/>
    <cellStyle name="Normal 418 5 3" xfId="31426" xr:uid="{00000000-0005-0000-0000-0000C27A0000}"/>
    <cellStyle name="Normal 418 6" xfId="31427" xr:uid="{00000000-0005-0000-0000-0000C37A0000}"/>
    <cellStyle name="Normal 418 6 2" xfId="31428" xr:uid="{00000000-0005-0000-0000-0000C47A0000}"/>
    <cellStyle name="Normal 418 6 2 2" xfId="31429" xr:uid="{00000000-0005-0000-0000-0000C57A0000}"/>
    <cellStyle name="Normal 418 6 3" xfId="31430" xr:uid="{00000000-0005-0000-0000-0000C67A0000}"/>
    <cellStyle name="Normal 418 7" xfId="31431" xr:uid="{00000000-0005-0000-0000-0000C77A0000}"/>
    <cellStyle name="Normal 419" xfId="31432" xr:uid="{00000000-0005-0000-0000-0000C87A0000}"/>
    <cellStyle name="Normal 419 2" xfId="31433" xr:uid="{00000000-0005-0000-0000-0000C97A0000}"/>
    <cellStyle name="Normal 419 2 2" xfId="31434" xr:uid="{00000000-0005-0000-0000-0000CA7A0000}"/>
    <cellStyle name="Normal 419 2 2 2" xfId="31435" xr:uid="{00000000-0005-0000-0000-0000CB7A0000}"/>
    <cellStyle name="Normal 419 2 3" xfId="31436" xr:uid="{00000000-0005-0000-0000-0000CC7A0000}"/>
    <cellStyle name="Normal 419 2 3 2" xfId="31437" xr:uid="{00000000-0005-0000-0000-0000CD7A0000}"/>
    <cellStyle name="Normal 419 2 3 2 2" xfId="31438" xr:uid="{00000000-0005-0000-0000-0000CE7A0000}"/>
    <cellStyle name="Normal 419 2 3 3" xfId="31439" xr:uid="{00000000-0005-0000-0000-0000CF7A0000}"/>
    <cellStyle name="Normal 419 2 4" xfId="31440" xr:uid="{00000000-0005-0000-0000-0000D07A0000}"/>
    <cellStyle name="Normal 419 2 4 2" xfId="31441" xr:uid="{00000000-0005-0000-0000-0000D17A0000}"/>
    <cellStyle name="Normal 419 2 4 2 2" xfId="31442" xr:uid="{00000000-0005-0000-0000-0000D27A0000}"/>
    <cellStyle name="Normal 419 2 4 3" xfId="31443" xr:uid="{00000000-0005-0000-0000-0000D37A0000}"/>
    <cellStyle name="Normal 419 2 5" xfId="31444" xr:uid="{00000000-0005-0000-0000-0000D47A0000}"/>
    <cellStyle name="Normal 419 3" xfId="31445" xr:uid="{00000000-0005-0000-0000-0000D57A0000}"/>
    <cellStyle name="Normal 419 3 2" xfId="31446" xr:uid="{00000000-0005-0000-0000-0000D67A0000}"/>
    <cellStyle name="Normal 419 3 2 2" xfId="31447" xr:uid="{00000000-0005-0000-0000-0000D77A0000}"/>
    <cellStyle name="Normal 419 3 2 2 2" xfId="31448" xr:uid="{00000000-0005-0000-0000-0000D87A0000}"/>
    <cellStyle name="Normal 419 3 2 3" xfId="31449" xr:uid="{00000000-0005-0000-0000-0000D97A0000}"/>
    <cellStyle name="Normal 419 3 2 3 2" xfId="31450" xr:uid="{00000000-0005-0000-0000-0000DA7A0000}"/>
    <cellStyle name="Normal 419 3 2 3 2 2" xfId="31451" xr:uid="{00000000-0005-0000-0000-0000DB7A0000}"/>
    <cellStyle name="Normal 419 3 2 3 3" xfId="31452" xr:uid="{00000000-0005-0000-0000-0000DC7A0000}"/>
    <cellStyle name="Normal 419 3 2 4" xfId="31453" xr:uid="{00000000-0005-0000-0000-0000DD7A0000}"/>
    <cellStyle name="Normal 419 3 3" xfId="31454" xr:uid="{00000000-0005-0000-0000-0000DE7A0000}"/>
    <cellStyle name="Normal 419 3 3 2" xfId="31455" xr:uid="{00000000-0005-0000-0000-0000DF7A0000}"/>
    <cellStyle name="Normal 419 3 3 2 2" xfId="31456" xr:uid="{00000000-0005-0000-0000-0000E07A0000}"/>
    <cellStyle name="Normal 419 3 3 3" xfId="31457" xr:uid="{00000000-0005-0000-0000-0000E17A0000}"/>
    <cellStyle name="Normal 419 3 4" xfId="31458" xr:uid="{00000000-0005-0000-0000-0000E27A0000}"/>
    <cellStyle name="Normal 419 3 4 2" xfId="31459" xr:uid="{00000000-0005-0000-0000-0000E37A0000}"/>
    <cellStyle name="Normal 419 3 4 2 2" xfId="31460" xr:uid="{00000000-0005-0000-0000-0000E47A0000}"/>
    <cellStyle name="Normal 419 3 4 3" xfId="31461" xr:uid="{00000000-0005-0000-0000-0000E57A0000}"/>
    <cellStyle name="Normal 419 3 5" xfId="31462" xr:uid="{00000000-0005-0000-0000-0000E67A0000}"/>
    <cellStyle name="Normal 419 3 5 2" xfId="31463" xr:uid="{00000000-0005-0000-0000-0000E77A0000}"/>
    <cellStyle name="Normal 419 3 5 2 2" xfId="31464" xr:uid="{00000000-0005-0000-0000-0000E87A0000}"/>
    <cellStyle name="Normal 419 3 5 3" xfId="31465" xr:uid="{00000000-0005-0000-0000-0000E97A0000}"/>
    <cellStyle name="Normal 419 3 6" xfId="31466" xr:uid="{00000000-0005-0000-0000-0000EA7A0000}"/>
    <cellStyle name="Normal 419 4" xfId="31467" xr:uid="{00000000-0005-0000-0000-0000EB7A0000}"/>
    <cellStyle name="Normal 419 4 2" xfId="31468" xr:uid="{00000000-0005-0000-0000-0000EC7A0000}"/>
    <cellStyle name="Normal 419 4 2 2" xfId="31469" xr:uid="{00000000-0005-0000-0000-0000ED7A0000}"/>
    <cellStyle name="Normal 419 4 3" xfId="31470" xr:uid="{00000000-0005-0000-0000-0000EE7A0000}"/>
    <cellStyle name="Normal 419 5" xfId="31471" xr:uid="{00000000-0005-0000-0000-0000EF7A0000}"/>
    <cellStyle name="Normal 419 5 2" xfId="31472" xr:uid="{00000000-0005-0000-0000-0000F07A0000}"/>
    <cellStyle name="Normal 419 5 2 2" xfId="31473" xr:uid="{00000000-0005-0000-0000-0000F17A0000}"/>
    <cellStyle name="Normal 419 5 3" xfId="31474" xr:uid="{00000000-0005-0000-0000-0000F27A0000}"/>
    <cellStyle name="Normal 419 6" xfId="31475" xr:uid="{00000000-0005-0000-0000-0000F37A0000}"/>
    <cellStyle name="Normal 419 6 2" xfId="31476" xr:uid="{00000000-0005-0000-0000-0000F47A0000}"/>
    <cellStyle name="Normal 419 6 2 2" xfId="31477" xr:uid="{00000000-0005-0000-0000-0000F57A0000}"/>
    <cellStyle name="Normal 419 6 3" xfId="31478" xr:uid="{00000000-0005-0000-0000-0000F67A0000}"/>
    <cellStyle name="Normal 419 7" xfId="31479" xr:uid="{00000000-0005-0000-0000-0000F77A0000}"/>
    <cellStyle name="Normal 42" xfId="31480" xr:uid="{00000000-0005-0000-0000-0000F87A0000}"/>
    <cellStyle name="Normal 42 2" xfId="31481" xr:uid="{00000000-0005-0000-0000-0000F97A0000}"/>
    <cellStyle name="Normal 42 2 2" xfId="31482" xr:uid="{00000000-0005-0000-0000-0000FA7A0000}"/>
    <cellStyle name="Normal 42 2 2 2" xfId="31483" xr:uid="{00000000-0005-0000-0000-0000FB7A0000}"/>
    <cellStyle name="Normal 42 2 2 2 2" xfId="31484" xr:uid="{00000000-0005-0000-0000-0000FC7A0000}"/>
    <cellStyle name="Normal 42 2 2 3" xfId="31485" xr:uid="{00000000-0005-0000-0000-0000FD7A0000}"/>
    <cellStyle name="Normal 42 2 2 3 2" xfId="31486" xr:uid="{00000000-0005-0000-0000-0000FE7A0000}"/>
    <cellStyle name="Normal 42 2 2 3 2 2" xfId="31487" xr:uid="{00000000-0005-0000-0000-0000FF7A0000}"/>
    <cellStyle name="Normal 42 2 2 3 3" xfId="31488" xr:uid="{00000000-0005-0000-0000-0000007B0000}"/>
    <cellStyle name="Normal 42 2 2 4" xfId="31489" xr:uid="{00000000-0005-0000-0000-0000017B0000}"/>
    <cellStyle name="Normal 42 2 2 4 2" xfId="31490" xr:uid="{00000000-0005-0000-0000-0000027B0000}"/>
    <cellStyle name="Normal 42 2 2 4 2 2" xfId="31491" xr:uid="{00000000-0005-0000-0000-0000037B0000}"/>
    <cellStyle name="Normal 42 2 2 4 3" xfId="31492" xr:uid="{00000000-0005-0000-0000-0000047B0000}"/>
    <cellStyle name="Normal 42 2 2 5" xfId="31493" xr:uid="{00000000-0005-0000-0000-0000057B0000}"/>
    <cellStyle name="Normal 42 2 3" xfId="31494" xr:uid="{00000000-0005-0000-0000-0000067B0000}"/>
    <cellStyle name="Normal 42 2 3 2" xfId="31495" xr:uid="{00000000-0005-0000-0000-0000077B0000}"/>
    <cellStyle name="Normal 42 2 3 2 2" xfId="31496" xr:uid="{00000000-0005-0000-0000-0000087B0000}"/>
    <cellStyle name="Normal 42 2 3 3" xfId="31497" xr:uid="{00000000-0005-0000-0000-0000097B0000}"/>
    <cellStyle name="Normal 42 2 4" xfId="31498" xr:uid="{00000000-0005-0000-0000-00000A7B0000}"/>
    <cellStyle name="Normal 42 2 4 2" xfId="31499" xr:uid="{00000000-0005-0000-0000-00000B7B0000}"/>
    <cellStyle name="Normal 42 2 4 2 2" xfId="31500" xr:uid="{00000000-0005-0000-0000-00000C7B0000}"/>
    <cellStyle name="Normal 42 2 4 3" xfId="31501" xr:uid="{00000000-0005-0000-0000-00000D7B0000}"/>
    <cellStyle name="Normal 42 2 5" xfId="31502" xr:uid="{00000000-0005-0000-0000-00000E7B0000}"/>
    <cellStyle name="Normal 42 2 5 2" xfId="31503" xr:uid="{00000000-0005-0000-0000-00000F7B0000}"/>
    <cellStyle name="Normal 42 2 5 2 2" xfId="31504" xr:uid="{00000000-0005-0000-0000-0000107B0000}"/>
    <cellStyle name="Normal 42 2 5 3" xfId="31505" xr:uid="{00000000-0005-0000-0000-0000117B0000}"/>
    <cellStyle name="Normal 42 2 6" xfId="31506" xr:uid="{00000000-0005-0000-0000-0000127B0000}"/>
    <cellStyle name="Normal 42 3" xfId="31507" xr:uid="{00000000-0005-0000-0000-0000137B0000}"/>
    <cellStyle name="Normal 42 3 2" xfId="31508" xr:uid="{00000000-0005-0000-0000-0000147B0000}"/>
    <cellStyle name="Normal 42 3 2 2" xfId="31509" xr:uid="{00000000-0005-0000-0000-0000157B0000}"/>
    <cellStyle name="Normal 42 3 3" xfId="31510" xr:uid="{00000000-0005-0000-0000-0000167B0000}"/>
    <cellStyle name="Normal 42 3 3 2" xfId="31511" xr:uid="{00000000-0005-0000-0000-0000177B0000}"/>
    <cellStyle name="Normal 42 3 3 2 2" xfId="31512" xr:uid="{00000000-0005-0000-0000-0000187B0000}"/>
    <cellStyle name="Normal 42 3 3 3" xfId="31513" xr:uid="{00000000-0005-0000-0000-0000197B0000}"/>
    <cellStyle name="Normal 42 3 4" xfId="31514" xr:uid="{00000000-0005-0000-0000-00001A7B0000}"/>
    <cellStyle name="Normal 42 3 4 2" xfId="31515" xr:uid="{00000000-0005-0000-0000-00001B7B0000}"/>
    <cellStyle name="Normal 42 3 4 2 2" xfId="31516" xr:uid="{00000000-0005-0000-0000-00001C7B0000}"/>
    <cellStyle name="Normal 42 3 4 3" xfId="31517" xr:uid="{00000000-0005-0000-0000-00001D7B0000}"/>
    <cellStyle name="Normal 42 3 5" xfId="31518" xr:uid="{00000000-0005-0000-0000-00001E7B0000}"/>
    <cellStyle name="Normal 42 4" xfId="31519" xr:uid="{00000000-0005-0000-0000-00001F7B0000}"/>
    <cellStyle name="Normal 42 4 2" xfId="31520" xr:uid="{00000000-0005-0000-0000-0000207B0000}"/>
    <cellStyle name="Normal 42 4 2 2" xfId="31521" xr:uid="{00000000-0005-0000-0000-0000217B0000}"/>
    <cellStyle name="Normal 42 4 3" xfId="31522" xr:uid="{00000000-0005-0000-0000-0000227B0000}"/>
    <cellStyle name="Normal 42 5" xfId="31523" xr:uid="{00000000-0005-0000-0000-0000237B0000}"/>
    <cellStyle name="Normal 42 5 2" xfId="31524" xr:uid="{00000000-0005-0000-0000-0000247B0000}"/>
    <cellStyle name="Normal 42 5 2 2" xfId="31525" xr:uid="{00000000-0005-0000-0000-0000257B0000}"/>
    <cellStyle name="Normal 42 5 3" xfId="31526" xr:uid="{00000000-0005-0000-0000-0000267B0000}"/>
    <cellStyle name="Normal 42 6" xfId="31527" xr:uid="{00000000-0005-0000-0000-0000277B0000}"/>
    <cellStyle name="Normal 42 6 2" xfId="31528" xr:uid="{00000000-0005-0000-0000-0000287B0000}"/>
    <cellStyle name="Normal 42 6 2 2" xfId="31529" xr:uid="{00000000-0005-0000-0000-0000297B0000}"/>
    <cellStyle name="Normal 42 6 3" xfId="31530" xr:uid="{00000000-0005-0000-0000-00002A7B0000}"/>
    <cellStyle name="Normal 42 7" xfId="31531" xr:uid="{00000000-0005-0000-0000-00002B7B0000}"/>
    <cellStyle name="Normal 420" xfId="31532" xr:uid="{00000000-0005-0000-0000-00002C7B0000}"/>
    <cellStyle name="Normal 420 2" xfId="31533" xr:uid="{00000000-0005-0000-0000-00002D7B0000}"/>
    <cellStyle name="Normal 420 2 2" xfId="31534" xr:uid="{00000000-0005-0000-0000-00002E7B0000}"/>
    <cellStyle name="Normal 420 2 2 2" xfId="31535" xr:uid="{00000000-0005-0000-0000-00002F7B0000}"/>
    <cellStyle name="Normal 420 2 3" xfId="31536" xr:uid="{00000000-0005-0000-0000-0000307B0000}"/>
    <cellStyle name="Normal 420 2 3 2" xfId="31537" xr:uid="{00000000-0005-0000-0000-0000317B0000}"/>
    <cellStyle name="Normal 420 2 3 2 2" xfId="31538" xr:uid="{00000000-0005-0000-0000-0000327B0000}"/>
    <cellStyle name="Normal 420 2 3 3" xfId="31539" xr:uid="{00000000-0005-0000-0000-0000337B0000}"/>
    <cellStyle name="Normal 420 2 4" xfId="31540" xr:uid="{00000000-0005-0000-0000-0000347B0000}"/>
    <cellStyle name="Normal 420 2 4 2" xfId="31541" xr:uid="{00000000-0005-0000-0000-0000357B0000}"/>
    <cellStyle name="Normal 420 2 4 2 2" xfId="31542" xr:uid="{00000000-0005-0000-0000-0000367B0000}"/>
    <cellStyle name="Normal 420 2 4 3" xfId="31543" xr:uid="{00000000-0005-0000-0000-0000377B0000}"/>
    <cellStyle name="Normal 420 2 5" xfId="31544" xr:uid="{00000000-0005-0000-0000-0000387B0000}"/>
    <cellStyle name="Normal 420 3" xfId="31545" xr:uid="{00000000-0005-0000-0000-0000397B0000}"/>
    <cellStyle name="Normal 420 3 2" xfId="31546" xr:uid="{00000000-0005-0000-0000-00003A7B0000}"/>
    <cellStyle name="Normal 420 3 2 2" xfId="31547" xr:uid="{00000000-0005-0000-0000-00003B7B0000}"/>
    <cellStyle name="Normal 420 3 2 2 2" xfId="31548" xr:uid="{00000000-0005-0000-0000-00003C7B0000}"/>
    <cellStyle name="Normal 420 3 2 3" xfId="31549" xr:uid="{00000000-0005-0000-0000-00003D7B0000}"/>
    <cellStyle name="Normal 420 3 2 3 2" xfId="31550" xr:uid="{00000000-0005-0000-0000-00003E7B0000}"/>
    <cellStyle name="Normal 420 3 2 3 2 2" xfId="31551" xr:uid="{00000000-0005-0000-0000-00003F7B0000}"/>
    <cellStyle name="Normal 420 3 2 3 3" xfId="31552" xr:uid="{00000000-0005-0000-0000-0000407B0000}"/>
    <cellStyle name="Normal 420 3 2 4" xfId="31553" xr:uid="{00000000-0005-0000-0000-0000417B0000}"/>
    <cellStyle name="Normal 420 3 3" xfId="31554" xr:uid="{00000000-0005-0000-0000-0000427B0000}"/>
    <cellStyle name="Normal 420 3 3 2" xfId="31555" xr:uid="{00000000-0005-0000-0000-0000437B0000}"/>
    <cellStyle name="Normal 420 3 3 2 2" xfId="31556" xr:uid="{00000000-0005-0000-0000-0000447B0000}"/>
    <cellStyle name="Normal 420 3 3 3" xfId="31557" xr:uid="{00000000-0005-0000-0000-0000457B0000}"/>
    <cellStyle name="Normal 420 3 4" xfId="31558" xr:uid="{00000000-0005-0000-0000-0000467B0000}"/>
    <cellStyle name="Normal 420 3 4 2" xfId="31559" xr:uid="{00000000-0005-0000-0000-0000477B0000}"/>
    <cellStyle name="Normal 420 3 4 2 2" xfId="31560" xr:uid="{00000000-0005-0000-0000-0000487B0000}"/>
    <cellStyle name="Normal 420 3 4 3" xfId="31561" xr:uid="{00000000-0005-0000-0000-0000497B0000}"/>
    <cellStyle name="Normal 420 3 5" xfId="31562" xr:uid="{00000000-0005-0000-0000-00004A7B0000}"/>
    <cellStyle name="Normal 420 3 5 2" xfId="31563" xr:uid="{00000000-0005-0000-0000-00004B7B0000}"/>
    <cellStyle name="Normal 420 3 5 2 2" xfId="31564" xr:uid="{00000000-0005-0000-0000-00004C7B0000}"/>
    <cellStyle name="Normal 420 3 5 3" xfId="31565" xr:uid="{00000000-0005-0000-0000-00004D7B0000}"/>
    <cellStyle name="Normal 420 3 6" xfId="31566" xr:uid="{00000000-0005-0000-0000-00004E7B0000}"/>
    <cellStyle name="Normal 420 4" xfId="31567" xr:uid="{00000000-0005-0000-0000-00004F7B0000}"/>
    <cellStyle name="Normal 420 4 2" xfId="31568" xr:uid="{00000000-0005-0000-0000-0000507B0000}"/>
    <cellStyle name="Normal 420 4 2 2" xfId="31569" xr:uid="{00000000-0005-0000-0000-0000517B0000}"/>
    <cellStyle name="Normal 420 4 3" xfId="31570" xr:uid="{00000000-0005-0000-0000-0000527B0000}"/>
    <cellStyle name="Normal 420 5" xfId="31571" xr:uid="{00000000-0005-0000-0000-0000537B0000}"/>
    <cellStyle name="Normal 420 5 2" xfId="31572" xr:uid="{00000000-0005-0000-0000-0000547B0000}"/>
    <cellStyle name="Normal 420 5 2 2" xfId="31573" xr:uid="{00000000-0005-0000-0000-0000557B0000}"/>
    <cellStyle name="Normal 420 5 3" xfId="31574" xr:uid="{00000000-0005-0000-0000-0000567B0000}"/>
    <cellStyle name="Normal 420 6" xfId="31575" xr:uid="{00000000-0005-0000-0000-0000577B0000}"/>
    <cellStyle name="Normal 420 6 2" xfId="31576" xr:uid="{00000000-0005-0000-0000-0000587B0000}"/>
    <cellStyle name="Normal 420 6 2 2" xfId="31577" xr:uid="{00000000-0005-0000-0000-0000597B0000}"/>
    <cellStyle name="Normal 420 6 3" xfId="31578" xr:uid="{00000000-0005-0000-0000-00005A7B0000}"/>
    <cellStyle name="Normal 420 7" xfId="31579" xr:uid="{00000000-0005-0000-0000-00005B7B0000}"/>
    <cellStyle name="Normal 421" xfId="31580" xr:uid="{00000000-0005-0000-0000-00005C7B0000}"/>
    <cellStyle name="Normal 421 2" xfId="31581" xr:uid="{00000000-0005-0000-0000-00005D7B0000}"/>
    <cellStyle name="Normal 421 2 2" xfId="31582" xr:uid="{00000000-0005-0000-0000-00005E7B0000}"/>
    <cellStyle name="Normal 421 2 2 2" xfId="31583" xr:uid="{00000000-0005-0000-0000-00005F7B0000}"/>
    <cellStyle name="Normal 421 2 2 2 2" xfId="31584" xr:uid="{00000000-0005-0000-0000-0000607B0000}"/>
    <cellStyle name="Normal 421 2 2 3" xfId="31585" xr:uid="{00000000-0005-0000-0000-0000617B0000}"/>
    <cellStyle name="Normal 421 2 2 3 2" xfId="31586" xr:uid="{00000000-0005-0000-0000-0000627B0000}"/>
    <cellStyle name="Normal 421 2 2 3 2 2" xfId="31587" xr:uid="{00000000-0005-0000-0000-0000637B0000}"/>
    <cellStyle name="Normal 421 2 2 3 3" xfId="31588" xr:uid="{00000000-0005-0000-0000-0000647B0000}"/>
    <cellStyle name="Normal 421 2 2 4" xfId="31589" xr:uid="{00000000-0005-0000-0000-0000657B0000}"/>
    <cellStyle name="Normal 421 2 2 4 2" xfId="31590" xr:uid="{00000000-0005-0000-0000-0000667B0000}"/>
    <cellStyle name="Normal 421 2 2 4 2 2" xfId="31591" xr:uid="{00000000-0005-0000-0000-0000677B0000}"/>
    <cellStyle name="Normal 421 2 2 4 3" xfId="31592" xr:uid="{00000000-0005-0000-0000-0000687B0000}"/>
    <cellStyle name="Normal 421 2 2 5" xfId="31593" xr:uid="{00000000-0005-0000-0000-0000697B0000}"/>
    <cellStyle name="Normal 421 2 3" xfId="31594" xr:uid="{00000000-0005-0000-0000-00006A7B0000}"/>
    <cellStyle name="Normal 421 2 3 2" xfId="31595" xr:uid="{00000000-0005-0000-0000-00006B7B0000}"/>
    <cellStyle name="Normal 421 2 3 2 2" xfId="31596" xr:uid="{00000000-0005-0000-0000-00006C7B0000}"/>
    <cellStyle name="Normal 421 2 3 2 2 2" xfId="31597" xr:uid="{00000000-0005-0000-0000-00006D7B0000}"/>
    <cellStyle name="Normal 421 2 3 2 3" xfId="31598" xr:uid="{00000000-0005-0000-0000-00006E7B0000}"/>
    <cellStyle name="Normal 421 2 3 2 3 2" xfId="31599" xr:uid="{00000000-0005-0000-0000-00006F7B0000}"/>
    <cellStyle name="Normal 421 2 3 2 3 2 2" xfId="31600" xr:uid="{00000000-0005-0000-0000-0000707B0000}"/>
    <cellStyle name="Normal 421 2 3 2 3 3" xfId="31601" xr:uid="{00000000-0005-0000-0000-0000717B0000}"/>
    <cellStyle name="Normal 421 2 3 2 4" xfId="31602" xr:uid="{00000000-0005-0000-0000-0000727B0000}"/>
    <cellStyle name="Normal 421 2 3 3" xfId="31603" xr:uid="{00000000-0005-0000-0000-0000737B0000}"/>
    <cellStyle name="Normal 421 2 3 3 2" xfId="31604" xr:uid="{00000000-0005-0000-0000-0000747B0000}"/>
    <cellStyle name="Normal 421 2 3 3 2 2" xfId="31605" xr:uid="{00000000-0005-0000-0000-0000757B0000}"/>
    <cellStyle name="Normal 421 2 3 3 3" xfId="31606" xr:uid="{00000000-0005-0000-0000-0000767B0000}"/>
    <cellStyle name="Normal 421 2 3 4" xfId="31607" xr:uid="{00000000-0005-0000-0000-0000777B0000}"/>
    <cellStyle name="Normal 421 2 3 4 2" xfId="31608" xr:uid="{00000000-0005-0000-0000-0000787B0000}"/>
    <cellStyle name="Normal 421 2 3 4 2 2" xfId="31609" xr:uid="{00000000-0005-0000-0000-0000797B0000}"/>
    <cellStyle name="Normal 421 2 3 4 3" xfId="31610" xr:uid="{00000000-0005-0000-0000-00007A7B0000}"/>
    <cellStyle name="Normal 421 2 3 5" xfId="31611" xr:uid="{00000000-0005-0000-0000-00007B7B0000}"/>
    <cellStyle name="Normal 421 2 3 5 2" xfId="31612" xr:uid="{00000000-0005-0000-0000-00007C7B0000}"/>
    <cellStyle name="Normal 421 2 3 5 2 2" xfId="31613" xr:uid="{00000000-0005-0000-0000-00007D7B0000}"/>
    <cellStyle name="Normal 421 2 3 5 3" xfId="31614" xr:uid="{00000000-0005-0000-0000-00007E7B0000}"/>
    <cellStyle name="Normal 421 2 3 6" xfId="31615" xr:uid="{00000000-0005-0000-0000-00007F7B0000}"/>
    <cellStyle name="Normal 421 2 4" xfId="31616" xr:uid="{00000000-0005-0000-0000-0000807B0000}"/>
    <cellStyle name="Normal 421 2 4 2" xfId="31617" xr:uid="{00000000-0005-0000-0000-0000817B0000}"/>
    <cellStyle name="Normal 421 2 4 2 2" xfId="31618" xr:uid="{00000000-0005-0000-0000-0000827B0000}"/>
    <cellStyle name="Normal 421 2 4 3" xfId="31619" xr:uid="{00000000-0005-0000-0000-0000837B0000}"/>
    <cellStyle name="Normal 421 2 5" xfId="31620" xr:uid="{00000000-0005-0000-0000-0000847B0000}"/>
    <cellStyle name="Normal 421 2 5 2" xfId="31621" xr:uid="{00000000-0005-0000-0000-0000857B0000}"/>
    <cellStyle name="Normal 421 2 5 2 2" xfId="31622" xr:uid="{00000000-0005-0000-0000-0000867B0000}"/>
    <cellStyle name="Normal 421 2 5 3" xfId="31623" xr:uid="{00000000-0005-0000-0000-0000877B0000}"/>
    <cellStyle name="Normal 421 2 6" xfId="31624" xr:uid="{00000000-0005-0000-0000-0000887B0000}"/>
    <cellStyle name="Normal 421 2 6 2" xfId="31625" xr:uid="{00000000-0005-0000-0000-0000897B0000}"/>
    <cellStyle name="Normal 421 2 6 2 2" xfId="31626" xr:uid="{00000000-0005-0000-0000-00008A7B0000}"/>
    <cellStyle name="Normal 421 2 6 3" xfId="31627" xr:uid="{00000000-0005-0000-0000-00008B7B0000}"/>
    <cellStyle name="Normal 421 2 7" xfId="31628" xr:uid="{00000000-0005-0000-0000-00008C7B0000}"/>
    <cellStyle name="Normal 421 3" xfId="31629" xr:uid="{00000000-0005-0000-0000-00008D7B0000}"/>
    <cellStyle name="Normal 421 3 2" xfId="31630" xr:uid="{00000000-0005-0000-0000-00008E7B0000}"/>
    <cellStyle name="Normal 421 3 2 2" xfId="31631" xr:uid="{00000000-0005-0000-0000-00008F7B0000}"/>
    <cellStyle name="Normal 421 3 3" xfId="31632" xr:uid="{00000000-0005-0000-0000-0000907B0000}"/>
    <cellStyle name="Normal 421 3 3 2" xfId="31633" xr:uid="{00000000-0005-0000-0000-0000917B0000}"/>
    <cellStyle name="Normal 421 3 3 2 2" xfId="31634" xr:uid="{00000000-0005-0000-0000-0000927B0000}"/>
    <cellStyle name="Normal 421 3 3 3" xfId="31635" xr:uid="{00000000-0005-0000-0000-0000937B0000}"/>
    <cellStyle name="Normal 421 3 4" xfId="31636" xr:uid="{00000000-0005-0000-0000-0000947B0000}"/>
    <cellStyle name="Normal 421 3 4 2" xfId="31637" xr:uid="{00000000-0005-0000-0000-0000957B0000}"/>
    <cellStyle name="Normal 421 3 4 2 2" xfId="31638" xr:uid="{00000000-0005-0000-0000-0000967B0000}"/>
    <cellStyle name="Normal 421 3 4 3" xfId="31639" xr:uid="{00000000-0005-0000-0000-0000977B0000}"/>
    <cellStyle name="Normal 421 3 5" xfId="31640" xr:uid="{00000000-0005-0000-0000-0000987B0000}"/>
    <cellStyle name="Normal 421 4" xfId="31641" xr:uid="{00000000-0005-0000-0000-0000997B0000}"/>
    <cellStyle name="Normal 421 4 2" xfId="31642" xr:uid="{00000000-0005-0000-0000-00009A7B0000}"/>
    <cellStyle name="Normal 421 4 2 2" xfId="31643" xr:uid="{00000000-0005-0000-0000-00009B7B0000}"/>
    <cellStyle name="Normal 421 4 2 2 2" xfId="31644" xr:uid="{00000000-0005-0000-0000-00009C7B0000}"/>
    <cellStyle name="Normal 421 4 2 3" xfId="31645" xr:uid="{00000000-0005-0000-0000-00009D7B0000}"/>
    <cellStyle name="Normal 421 4 2 3 2" xfId="31646" xr:uid="{00000000-0005-0000-0000-00009E7B0000}"/>
    <cellStyle name="Normal 421 4 2 3 2 2" xfId="31647" xr:uid="{00000000-0005-0000-0000-00009F7B0000}"/>
    <cellStyle name="Normal 421 4 2 3 3" xfId="31648" xr:uid="{00000000-0005-0000-0000-0000A07B0000}"/>
    <cellStyle name="Normal 421 4 2 4" xfId="31649" xr:uid="{00000000-0005-0000-0000-0000A17B0000}"/>
    <cellStyle name="Normal 421 4 3" xfId="31650" xr:uid="{00000000-0005-0000-0000-0000A27B0000}"/>
    <cellStyle name="Normal 421 4 3 2" xfId="31651" xr:uid="{00000000-0005-0000-0000-0000A37B0000}"/>
    <cellStyle name="Normal 421 4 3 2 2" xfId="31652" xr:uid="{00000000-0005-0000-0000-0000A47B0000}"/>
    <cellStyle name="Normal 421 4 3 3" xfId="31653" xr:uid="{00000000-0005-0000-0000-0000A57B0000}"/>
    <cellStyle name="Normal 421 4 4" xfId="31654" xr:uid="{00000000-0005-0000-0000-0000A67B0000}"/>
    <cellStyle name="Normal 421 4 4 2" xfId="31655" xr:uid="{00000000-0005-0000-0000-0000A77B0000}"/>
    <cellStyle name="Normal 421 4 4 2 2" xfId="31656" xr:uid="{00000000-0005-0000-0000-0000A87B0000}"/>
    <cellStyle name="Normal 421 4 4 3" xfId="31657" xr:uid="{00000000-0005-0000-0000-0000A97B0000}"/>
    <cellStyle name="Normal 421 4 5" xfId="31658" xr:uid="{00000000-0005-0000-0000-0000AA7B0000}"/>
    <cellStyle name="Normal 421 4 5 2" xfId="31659" xr:uid="{00000000-0005-0000-0000-0000AB7B0000}"/>
    <cellStyle name="Normal 421 4 5 2 2" xfId="31660" xr:uid="{00000000-0005-0000-0000-0000AC7B0000}"/>
    <cellStyle name="Normal 421 4 5 3" xfId="31661" xr:uid="{00000000-0005-0000-0000-0000AD7B0000}"/>
    <cellStyle name="Normal 421 4 6" xfId="31662" xr:uid="{00000000-0005-0000-0000-0000AE7B0000}"/>
    <cellStyle name="Normal 421 5" xfId="31663" xr:uid="{00000000-0005-0000-0000-0000AF7B0000}"/>
    <cellStyle name="Normal 421 5 2" xfId="31664" xr:uid="{00000000-0005-0000-0000-0000B07B0000}"/>
    <cellStyle name="Normal 421 5 2 2" xfId="31665" xr:uid="{00000000-0005-0000-0000-0000B17B0000}"/>
    <cellStyle name="Normal 421 5 3" xfId="31666" xr:uid="{00000000-0005-0000-0000-0000B27B0000}"/>
    <cellStyle name="Normal 421 6" xfId="31667" xr:uid="{00000000-0005-0000-0000-0000B37B0000}"/>
    <cellStyle name="Normal 421 6 2" xfId="31668" xr:uid="{00000000-0005-0000-0000-0000B47B0000}"/>
    <cellStyle name="Normal 421 6 2 2" xfId="31669" xr:uid="{00000000-0005-0000-0000-0000B57B0000}"/>
    <cellStyle name="Normal 421 6 3" xfId="31670" xr:uid="{00000000-0005-0000-0000-0000B67B0000}"/>
    <cellStyle name="Normal 421 7" xfId="31671" xr:uid="{00000000-0005-0000-0000-0000B77B0000}"/>
    <cellStyle name="Normal 421 7 2" xfId="31672" xr:uid="{00000000-0005-0000-0000-0000B87B0000}"/>
    <cellStyle name="Normal 421 7 2 2" xfId="31673" xr:uid="{00000000-0005-0000-0000-0000B97B0000}"/>
    <cellStyle name="Normal 421 7 3" xfId="31674" xr:uid="{00000000-0005-0000-0000-0000BA7B0000}"/>
    <cellStyle name="Normal 421 8" xfId="31675" xr:uid="{00000000-0005-0000-0000-0000BB7B0000}"/>
    <cellStyle name="Normal 421 8 2" xfId="31676" xr:uid="{00000000-0005-0000-0000-0000BC7B0000}"/>
    <cellStyle name="Normal 6" xfId="49" xr:uid="{00000000-0005-0000-0000-000031000000}"/>
    <cellStyle name="Normal 7" xfId="7" xr:uid="{00000000-0005-0000-0000-000007000000}"/>
    <cellStyle name="Normal 747 3" xfId="48" xr:uid="{00000000-0005-0000-0000-000030000000}"/>
    <cellStyle name="Normal 749" xfId="31677" xr:uid="{00000000-0005-0000-0000-0000BD7B0000}"/>
    <cellStyle name="Normal 750 2" xfId="31682" xr:uid="{00000000-0005-0000-0000-0000C27B0000}"/>
    <cellStyle name="Normal 8" xfId="74" xr:uid="{00000000-0005-0000-0000-00004A000000}"/>
    <cellStyle name="Normal 9" xfId="75" xr:uid="{00000000-0005-0000-0000-00004B000000}"/>
    <cellStyle name="Normal_ITC Model I Updated to May 1 2009 FLE's" xfId="31683" xr:uid="{00000000-0005-0000-0000-0000C37B0000}"/>
    <cellStyle name="Percent" xfId="1" xr:uid="{00000000-0005-0000-0000-000001000000}"/>
    <cellStyle name="Percent 10" xfId="31678" xr:uid="{00000000-0005-0000-0000-0000BE7B0000}"/>
    <cellStyle name="Percent 156" xfId="31679" xr:uid="{00000000-0005-0000-0000-0000BF7B0000}"/>
    <cellStyle name="Percent 2" xfId="78" xr:uid="{00000000-0005-0000-0000-00004E000000}"/>
    <cellStyle name="Percent 3" xfId="31684" xr:uid="{00000000-0005-0000-0000-0000C47B0000}"/>
    <cellStyle name="Percent 41" xfId="76" xr:uid="{00000000-0005-0000-0000-00004C000000}"/>
    <cellStyle name="Percent 45" xfId="77" xr:uid="{00000000-0005-0000-0000-00004D000000}"/>
    <cellStyle name="SAPBorder" xfId="13" xr:uid="{00000000-0005-0000-0000-00000D000000}"/>
    <cellStyle name="SAPDataCell" xfId="14" xr:uid="{00000000-0005-0000-0000-00000E000000}"/>
    <cellStyle name="SAPDataTotalCell" xfId="15" xr:uid="{00000000-0005-0000-0000-00000F000000}"/>
    <cellStyle name="SAPDimensionCell" xfId="16" xr:uid="{00000000-0005-0000-0000-000010000000}"/>
    <cellStyle name="SAPDimensionCell 3" xfId="31686" xr:uid="{DFB9A9C2-09AB-498F-97E6-A78FAA0C73E2}"/>
    <cellStyle name="SAPEditableDataCell" xfId="17" xr:uid="{00000000-0005-0000-0000-000011000000}"/>
    <cellStyle name="SAPEditableDataTotalCell" xfId="18" xr:uid="{00000000-0005-0000-0000-000012000000}"/>
    <cellStyle name="SAPEmphasized" xfId="19" xr:uid="{00000000-0005-0000-0000-000013000000}"/>
    <cellStyle name="SAPEmphasizedEditableDataCell" xfId="20" xr:uid="{00000000-0005-0000-0000-000014000000}"/>
    <cellStyle name="SAPEmphasizedEditableDataTotalCell" xfId="21" xr:uid="{00000000-0005-0000-0000-000015000000}"/>
    <cellStyle name="SAPEmphasizedLockedDataCell" xfId="22" xr:uid="{00000000-0005-0000-0000-000016000000}"/>
    <cellStyle name="SAPEmphasizedLockedDataTotalCell" xfId="23" xr:uid="{00000000-0005-0000-0000-000017000000}"/>
    <cellStyle name="SAPEmphasizedReadonlyDataCell" xfId="24" xr:uid="{00000000-0005-0000-0000-000018000000}"/>
    <cellStyle name="SAPEmphasizedReadonlyDataTotalCell" xfId="25" xr:uid="{00000000-0005-0000-0000-000019000000}"/>
    <cellStyle name="SAPEmphasizedTotal" xfId="26" xr:uid="{00000000-0005-0000-0000-00001A000000}"/>
    <cellStyle name="SAPExceptionLevel1" xfId="27" xr:uid="{00000000-0005-0000-0000-00001B000000}"/>
    <cellStyle name="SAPExceptionLevel2" xfId="28" xr:uid="{00000000-0005-0000-0000-00001C000000}"/>
    <cellStyle name="SAPExceptionLevel3" xfId="29" xr:uid="{00000000-0005-0000-0000-00001D000000}"/>
    <cellStyle name="SAPExceptionLevel4" xfId="30" xr:uid="{00000000-0005-0000-0000-00001E000000}"/>
    <cellStyle name="SAPExceptionLevel5" xfId="31" xr:uid="{00000000-0005-0000-0000-00001F000000}"/>
    <cellStyle name="SAPExceptionLevel6" xfId="32" xr:uid="{00000000-0005-0000-0000-000020000000}"/>
    <cellStyle name="SAPExceptionLevel7" xfId="33" xr:uid="{00000000-0005-0000-0000-000021000000}"/>
    <cellStyle name="SAPExceptionLevel7 2" xfId="31687" xr:uid="{FA754D42-D55A-4DA5-ABA8-9B43FF1F77D9}"/>
    <cellStyle name="SAPExceptionLevel8" xfId="34" xr:uid="{00000000-0005-0000-0000-000022000000}"/>
    <cellStyle name="SAPExceptionLevel9" xfId="35" xr:uid="{00000000-0005-0000-0000-000023000000}"/>
    <cellStyle name="SAPHierarchyCell0" xfId="36" xr:uid="{00000000-0005-0000-0000-000024000000}"/>
    <cellStyle name="SAPHierarchyCell1" xfId="37" xr:uid="{00000000-0005-0000-0000-000025000000}"/>
    <cellStyle name="SAPHierarchyCell2" xfId="38" xr:uid="{00000000-0005-0000-0000-000026000000}"/>
    <cellStyle name="SAPHierarchyCell3" xfId="39" xr:uid="{00000000-0005-0000-0000-000027000000}"/>
    <cellStyle name="SAPHierarchyCell4" xfId="40" xr:uid="{00000000-0005-0000-0000-000028000000}"/>
    <cellStyle name="SAPLockedDataCell" xfId="41" xr:uid="{00000000-0005-0000-0000-000029000000}"/>
    <cellStyle name="SAPLockedDataTotalCell" xfId="42" xr:uid="{00000000-0005-0000-0000-00002A000000}"/>
    <cellStyle name="SAPMemberCell" xfId="43" xr:uid="{00000000-0005-0000-0000-00002B000000}"/>
    <cellStyle name="SAPMemberTotalCell" xfId="44" xr:uid="{00000000-0005-0000-0000-00002C000000}"/>
    <cellStyle name="SAPMemberTotalCell 3" xfId="31688" xr:uid="{B9648187-3848-4826-B2B1-DBBBD92AF9F0}"/>
    <cellStyle name="SAPReadonlyDataCell" xfId="45" xr:uid="{00000000-0005-0000-0000-00002D000000}"/>
    <cellStyle name="SAPReadonlyDataTotalCell" xfId="46" xr:uid="{00000000-0005-0000-0000-00002E000000}"/>
  </cellStyles>
  <dxfs count="7">
    <dxf>
      <fill>
        <patternFill>
          <bgColor indexed="42"/>
        </patternFill>
      </fill>
    </dxf>
    <dxf>
      <fill>
        <patternFill>
          <bgColor indexed="42"/>
        </patternFill>
      </fill>
    </dxf>
    <dxf>
      <fill>
        <patternFill>
          <bgColor indexed="42"/>
        </patternFill>
      </fill>
    </dxf>
    <dxf>
      <fill>
        <patternFill>
          <bgColor indexed="42"/>
        </patternFill>
      </fill>
    </dxf>
    <dxf>
      <font>
        <color auto="1"/>
      </font>
    </dxf>
    <dxf>
      <font>
        <color auto="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F17"/>
  <sheetViews>
    <sheetView view="pageBreakPreview" zoomScale="130" zoomScaleSheetLayoutView="130" workbookViewId="0">
      <selection activeCell="G62" sqref="A60:P75"/>
    </sheetView>
  </sheetViews>
  <sheetFormatPr defaultRowHeight="14.5"/>
  <cols>
    <col min="1" max="6" width="9.1796875" customWidth="1"/>
  </cols>
  <sheetData>
    <row r="5" spans="1:6" ht="20">
      <c r="A5" s="806"/>
      <c r="B5" s="806"/>
      <c r="C5" s="806"/>
      <c r="D5" s="806"/>
      <c r="E5" s="806"/>
      <c r="F5" s="806"/>
    </row>
    <row r="6" spans="1:6" ht="20">
      <c r="A6" s="806"/>
      <c r="B6" s="806"/>
      <c r="C6" s="806"/>
      <c r="D6" s="806"/>
      <c r="E6" s="806"/>
      <c r="F6" s="806"/>
    </row>
    <row r="7" spans="1:6" ht="20">
      <c r="A7" s="806"/>
      <c r="B7" s="806"/>
      <c r="C7" s="806"/>
      <c r="D7" s="806"/>
      <c r="E7" s="806"/>
      <c r="F7" s="806"/>
    </row>
    <row r="8" spans="1:6" ht="20">
      <c r="A8" s="10"/>
      <c r="B8" s="10"/>
      <c r="C8" s="10"/>
      <c r="D8" s="10"/>
      <c r="E8" s="10"/>
      <c r="F8" s="10"/>
    </row>
    <row r="9" spans="1:6">
      <c r="A9" s="67"/>
      <c r="B9" s="67"/>
      <c r="C9" s="67"/>
      <c r="D9" s="67"/>
      <c r="E9" s="67"/>
      <c r="F9" s="67"/>
    </row>
    <row r="10" spans="1:6" ht="17.5">
      <c r="A10" s="807" t="s">
        <v>162</v>
      </c>
      <c r="B10" s="807"/>
      <c r="C10" s="807"/>
      <c r="D10" s="807"/>
      <c r="E10" s="807"/>
      <c r="F10" s="807"/>
    </row>
    <row r="11" spans="1:6" ht="17.5">
      <c r="A11" s="807" t="s">
        <v>242</v>
      </c>
      <c r="B11" s="807"/>
      <c r="C11" s="807"/>
      <c r="D11" s="807"/>
      <c r="E11" s="807"/>
      <c r="F11" s="807"/>
    </row>
    <row r="12" spans="1:6" ht="17.5">
      <c r="A12" s="9"/>
      <c r="B12" s="9"/>
      <c r="C12" s="9"/>
      <c r="D12" s="9"/>
      <c r="E12" s="9"/>
      <c r="F12" s="9"/>
    </row>
    <row r="13" spans="1:6" ht="17.5">
      <c r="A13" s="807" t="s">
        <v>245</v>
      </c>
      <c r="B13" s="807"/>
      <c r="C13" s="807"/>
      <c r="D13" s="807"/>
      <c r="E13" s="807"/>
      <c r="F13" s="807"/>
    </row>
    <row r="14" spans="1:6" ht="17.5">
      <c r="A14" s="807" t="s">
        <v>246</v>
      </c>
      <c r="B14" s="807"/>
      <c r="C14" s="807"/>
      <c r="D14" s="807"/>
      <c r="E14" s="807"/>
      <c r="F14" s="807"/>
    </row>
    <row r="15" spans="1:6" ht="20">
      <c r="A15" s="806"/>
      <c r="B15" s="806"/>
      <c r="C15" s="806"/>
      <c r="D15" s="806"/>
      <c r="E15" s="806"/>
      <c r="F15" s="806"/>
    </row>
    <row r="16" spans="1:6">
      <c r="A16" s="67"/>
      <c r="B16" s="67"/>
      <c r="C16" s="67"/>
      <c r="D16" s="67"/>
      <c r="E16" s="67"/>
      <c r="F16" s="67"/>
    </row>
    <row r="17" spans="1:6">
      <c r="A17" s="67"/>
      <c r="B17" s="67"/>
      <c r="C17" s="67"/>
      <c r="D17" s="67"/>
      <c r="E17" s="67"/>
      <c r="F17" s="67"/>
    </row>
  </sheetData>
  <mergeCells count="8">
    <mergeCell ref="A5:F5"/>
    <mergeCell ref="A6:F6"/>
    <mergeCell ref="A7:F7"/>
    <mergeCell ref="A10:F10"/>
    <mergeCell ref="A15:F15"/>
    <mergeCell ref="A11:F11"/>
    <mergeCell ref="A13:F13"/>
    <mergeCell ref="A14:F14"/>
  </mergeCells>
  <printOptions horizontalCentered="1"/>
  <pageMargins left="1" right="1" top="1" bottom="1" header="0.5" footer="0.5"/>
  <pageSetup fitToHeight="0"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0"/>
  <sheetViews>
    <sheetView tabSelected="1" view="pageBreakPreview" zoomScale="55" zoomScaleNormal="70" zoomScaleSheetLayoutView="55" zoomScalePageLayoutView="70" workbookViewId="0">
      <selection activeCell="P108" sqref="P108"/>
    </sheetView>
  </sheetViews>
  <sheetFormatPr defaultColWidth="9.1796875" defaultRowHeight="14.5"/>
  <cols>
    <col min="1" max="1" width="4.81640625" style="99" bestFit="1" customWidth="1"/>
    <col min="2" max="2" width="50.1796875" style="101" customWidth="1"/>
    <col min="3" max="3" width="17.81640625" style="103" customWidth="1"/>
    <col min="4" max="4" width="17.81640625" style="99" bestFit="1" customWidth="1"/>
    <col min="5" max="5" width="21.7265625" style="99" customWidth="1"/>
    <col min="6" max="6" width="24" style="99" bestFit="1" customWidth="1"/>
    <col min="7" max="7" width="44.453125" style="99" customWidth="1"/>
    <col min="8" max="8" width="6.7265625" style="99" bestFit="1" customWidth="1"/>
    <col min="9" max="9" width="29.1796875" style="99" bestFit="1" customWidth="1"/>
    <col min="10" max="10" width="17.81640625" style="99" bestFit="1" customWidth="1"/>
    <col min="11" max="11" width="13.453125" style="99" customWidth="1"/>
    <col min="12" max="12" width="10" style="99" bestFit="1" customWidth="1"/>
    <col min="13" max="14" width="15.54296875" style="99" customWidth="1"/>
    <col min="15" max="15" width="13.453125" style="99" customWidth="1"/>
    <col min="16" max="16384" width="9.1796875" style="99"/>
  </cols>
  <sheetData>
    <row r="1" spans="1:10">
      <c r="B1" s="100" t="s">
        <v>46</v>
      </c>
      <c r="C1" s="101"/>
      <c r="D1" s="101"/>
      <c r="E1" s="101"/>
      <c r="F1" s="101"/>
      <c r="G1" s="15" t="str">
        <f>CONCATENATE("Prior Year: ",'1-BaseTRR'!$F$2)</f>
        <v>Prior Year: 2022</v>
      </c>
      <c r="H1" s="101"/>
      <c r="J1" s="102"/>
    </row>
    <row r="2" spans="1:10">
      <c r="B2" s="46" t="s">
        <v>196</v>
      </c>
      <c r="C2" s="101"/>
      <c r="D2" s="101"/>
      <c r="E2" s="101"/>
      <c r="F2" s="101"/>
      <c r="H2" s="101"/>
      <c r="J2" s="102"/>
    </row>
    <row r="3" spans="1:10">
      <c r="A3" s="13"/>
      <c r="E3" s="13"/>
      <c r="F3" s="101"/>
      <c r="G3" s="101"/>
      <c r="H3" s="101"/>
      <c r="J3" s="102"/>
    </row>
    <row r="4" spans="1:10">
      <c r="B4" s="52" t="s">
        <v>290</v>
      </c>
      <c r="C4" s="52"/>
      <c r="D4" s="52"/>
      <c r="E4" s="52"/>
      <c r="F4" s="52"/>
      <c r="G4" s="52"/>
      <c r="H4" s="14"/>
      <c r="I4" s="101"/>
      <c r="J4" s="104"/>
    </row>
    <row r="5" spans="1:10">
      <c r="A5" s="13" t="s">
        <v>124</v>
      </c>
      <c r="B5" s="13" t="s">
        <v>129</v>
      </c>
      <c r="F5" s="13" t="s">
        <v>80</v>
      </c>
      <c r="G5" s="13" t="s">
        <v>54</v>
      </c>
      <c r="H5" s="13" t="s">
        <v>124</v>
      </c>
      <c r="I5" s="101"/>
      <c r="J5" s="102"/>
    </row>
    <row r="6" spans="1:10">
      <c r="A6" s="105"/>
      <c r="B6" s="106" t="s">
        <v>291</v>
      </c>
      <c r="C6" s="107"/>
      <c r="D6" s="101"/>
      <c r="E6" s="105"/>
      <c r="F6" s="101"/>
      <c r="G6" s="108"/>
      <c r="H6" s="105"/>
      <c r="I6" s="101"/>
      <c r="J6" s="102"/>
    </row>
    <row r="7" spans="1:10">
      <c r="A7" s="105">
        <v>100</v>
      </c>
      <c r="B7" s="102" t="s">
        <v>292</v>
      </c>
      <c r="C7" s="107"/>
      <c r="D7" s="101"/>
      <c r="E7" s="105"/>
      <c r="F7" s="459">
        <v>35115164559</v>
      </c>
      <c r="G7" s="101" t="s">
        <v>2029</v>
      </c>
      <c r="H7" s="105">
        <f t="shared" ref="H7:H14" si="0">A7</f>
        <v>100</v>
      </c>
      <c r="I7" s="101"/>
      <c r="J7" s="102"/>
    </row>
    <row r="8" spans="1:10">
      <c r="A8" s="105">
        <f>A7+1</f>
        <v>101</v>
      </c>
      <c r="B8" s="102" t="s">
        <v>293</v>
      </c>
      <c r="C8" s="109"/>
      <c r="D8" s="110"/>
      <c r="E8" s="105"/>
      <c r="F8" s="459">
        <v>0</v>
      </c>
      <c r="G8" s="101" t="s">
        <v>2030</v>
      </c>
      <c r="H8" s="105">
        <f t="shared" si="0"/>
        <v>101</v>
      </c>
      <c r="I8" s="101"/>
      <c r="J8" s="102"/>
    </row>
    <row r="9" spans="1:10">
      <c r="A9" s="105">
        <f t="shared" ref="A9:A14" si="1">A8+1</f>
        <v>102</v>
      </c>
      <c r="B9" s="102" t="s">
        <v>294</v>
      </c>
      <c r="C9" s="109"/>
      <c r="D9" s="110"/>
      <c r="E9" s="105"/>
      <c r="F9" s="459">
        <v>0</v>
      </c>
      <c r="G9" s="101" t="s">
        <v>2031</v>
      </c>
      <c r="H9" s="105">
        <f t="shared" si="0"/>
        <v>102</v>
      </c>
      <c r="I9" s="101"/>
      <c r="J9" s="102"/>
    </row>
    <row r="10" spans="1:10">
      <c r="A10" s="105">
        <f t="shared" si="1"/>
        <v>103</v>
      </c>
      <c r="B10" s="102" t="s">
        <v>1276</v>
      </c>
      <c r="C10" s="109"/>
      <c r="D10" s="110"/>
      <c r="E10" s="105"/>
      <c r="F10" s="459">
        <v>4903468</v>
      </c>
      <c r="G10" s="101" t="s">
        <v>2032</v>
      </c>
      <c r="H10" s="105">
        <f t="shared" si="0"/>
        <v>103</v>
      </c>
      <c r="I10" s="101"/>
      <c r="J10" s="102"/>
    </row>
    <row r="11" spans="1:10">
      <c r="A11" s="105">
        <f t="shared" si="1"/>
        <v>104</v>
      </c>
      <c r="B11" s="102" t="s">
        <v>1277</v>
      </c>
      <c r="C11" s="109"/>
      <c r="D11" s="110"/>
      <c r="E11" s="105"/>
      <c r="F11" s="459">
        <v>30251169</v>
      </c>
      <c r="G11" s="101" t="s">
        <v>2033</v>
      </c>
      <c r="H11" s="105">
        <f t="shared" si="0"/>
        <v>104</v>
      </c>
      <c r="I11" s="101"/>
      <c r="J11" s="102"/>
    </row>
    <row r="12" spans="1:10">
      <c r="A12" s="105">
        <f t="shared" si="1"/>
        <v>105</v>
      </c>
      <c r="B12" s="102" t="s">
        <v>1335</v>
      </c>
      <c r="C12" s="109"/>
      <c r="D12" s="110"/>
      <c r="E12" s="105"/>
      <c r="F12" s="459">
        <v>193762954.90000001</v>
      </c>
      <c r="G12" s="101" t="s">
        <v>2034</v>
      </c>
      <c r="H12" s="105">
        <f t="shared" si="0"/>
        <v>105</v>
      </c>
      <c r="I12" s="101"/>
      <c r="J12" s="102"/>
    </row>
    <row r="13" spans="1:10">
      <c r="A13" s="105">
        <f t="shared" si="1"/>
        <v>106</v>
      </c>
      <c r="B13" s="102" t="s">
        <v>1336</v>
      </c>
      <c r="C13" s="109"/>
      <c r="D13" s="110"/>
      <c r="E13" s="105"/>
      <c r="F13" s="460">
        <v>36721574</v>
      </c>
      <c r="G13" s="101" t="s">
        <v>2035</v>
      </c>
      <c r="H13" s="105">
        <f t="shared" si="0"/>
        <v>106</v>
      </c>
      <c r="I13" s="101"/>
      <c r="J13" s="102"/>
    </row>
    <row r="14" spans="1:10">
      <c r="A14" s="105">
        <f t="shared" si="1"/>
        <v>107</v>
      </c>
      <c r="B14" s="537" t="s">
        <v>295</v>
      </c>
      <c r="C14" s="109"/>
      <c r="D14" s="110"/>
      <c r="E14" s="105"/>
      <c r="F14" s="463">
        <f>F7-F8+F9+F10-F11-F12-F13</f>
        <v>34859332329.099998</v>
      </c>
      <c r="G14" s="101" t="str">
        <f>CONCATENATE("Lines ((",A7," + ",A9," + ",A10,") - (",A8," + ",A11," + ",A12," + ",A13," ))")</f>
        <v>Lines ((100 + 102 + 103) - (101 + 104 + 105 + 106 ))</v>
      </c>
      <c r="H14" s="105">
        <f t="shared" si="0"/>
        <v>107</v>
      </c>
      <c r="I14" s="112"/>
      <c r="J14" s="111"/>
    </row>
    <row r="15" spans="1:10">
      <c r="A15" s="105"/>
      <c r="B15" s="102"/>
      <c r="C15" s="109"/>
      <c r="D15" s="110"/>
      <c r="E15" s="105"/>
      <c r="F15" s="113"/>
      <c r="G15" s="101"/>
      <c r="H15" s="101"/>
      <c r="J15" s="102"/>
    </row>
    <row r="16" spans="1:10">
      <c r="A16" s="105"/>
      <c r="B16" s="106" t="s">
        <v>296</v>
      </c>
      <c r="C16" s="109"/>
      <c r="D16" s="110"/>
      <c r="E16" s="105"/>
      <c r="F16" s="113"/>
      <c r="G16" s="101"/>
      <c r="H16" s="101"/>
      <c r="J16" s="102"/>
    </row>
    <row r="17" spans="1:12">
      <c r="A17" s="105">
        <f>A14+1</f>
        <v>108</v>
      </c>
      <c r="B17" s="102" t="s">
        <v>1142</v>
      </c>
      <c r="C17" s="109"/>
      <c r="D17" s="110"/>
      <c r="E17" s="105"/>
      <c r="F17" s="461">
        <v>1302886803</v>
      </c>
      <c r="G17" s="101" t="s">
        <v>2036</v>
      </c>
      <c r="H17" s="105">
        <f t="shared" ref="H17:H24" si="2">A17</f>
        <v>108</v>
      </c>
      <c r="J17" s="102"/>
    </row>
    <row r="18" spans="1:12">
      <c r="A18" s="105">
        <f>A17+1</f>
        <v>109</v>
      </c>
      <c r="B18" s="102" t="s">
        <v>1143</v>
      </c>
      <c r="C18" s="109"/>
      <c r="D18" s="110"/>
      <c r="E18" s="105"/>
      <c r="F18" s="459">
        <v>54829546.929999992</v>
      </c>
      <c r="G18" s="101" t="s">
        <v>2037</v>
      </c>
      <c r="H18" s="105">
        <f t="shared" si="2"/>
        <v>109</v>
      </c>
      <c r="J18" s="102"/>
    </row>
    <row r="19" spans="1:12">
      <c r="A19" s="105">
        <f t="shared" ref="A19:A22" si="3">A18+1</f>
        <v>110</v>
      </c>
      <c r="B19" s="102" t="s">
        <v>1144</v>
      </c>
      <c r="C19" s="109"/>
      <c r="D19" s="110"/>
      <c r="E19" s="105"/>
      <c r="F19" s="459">
        <v>16245343</v>
      </c>
      <c r="G19" s="101" t="s">
        <v>2038</v>
      </c>
      <c r="H19" s="105">
        <f t="shared" si="2"/>
        <v>110</v>
      </c>
      <c r="J19" s="102"/>
    </row>
    <row r="20" spans="1:12">
      <c r="A20" s="105">
        <f t="shared" si="3"/>
        <v>111</v>
      </c>
      <c r="B20" s="102" t="s">
        <v>1145</v>
      </c>
      <c r="C20" s="109"/>
      <c r="D20" s="110"/>
      <c r="E20" s="105"/>
      <c r="F20" s="459">
        <v>1326141</v>
      </c>
      <c r="G20" s="101" t="s">
        <v>2039</v>
      </c>
      <c r="H20" s="105">
        <f t="shared" si="2"/>
        <v>111</v>
      </c>
      <c r="J20" s="102"/>
    </row>
    <row r="21" spans="1:12">
      <c r="A21" s="105">
        <f t="shared" si="3"/>
        <v>112</v>
      </c>
      <c r="B21" s="102" t="s">
        <v>1146</v>
      </c>
      <c r="C21" s="109"/>
      <c r="D21" s="110"/>
      <c r="E21" s="105"/>
      <c r="F21" s="460">
        <v>139701</v>
      </c>
      <c r="G21" s="101" t="s">
        <v>2040</v>
      </c>
      <c r="H21" s="105">
        <f t="shared" si="2"/>
        <v>112</v>
      </c>
      <c r="J21" s="102"/>
    </row>
    <row r="22" spans="1:12">
      <c r="A22" s="105">
        <f t="shared" si="3"/>
        <v>113</v>
      </c>
      <c r="B22" s="537" t="s">
        <v>297</v>
      </c>
      <c r="C22" s="109"/>
      <c r="D22" s="110"/>
      <c r="E22" s="105"/>
      <c r="F22" s="538">
        <f>+F17+F18+F19-F20-F21</f>
        <v>1372495850.9300001</v>
      </c>
      <c r="G22" s="101" t="str">
        <f>CONCATENATE("Lines ((",A17," + ",A18," + ",A19,") - (",A20," + ",A21,"))")</f>
        <v>Lines ((108 + 109 + 110) - (111 + 112))</v>
      </c>
      <c r="H22" s="105">
        <f t="shared" si="2"/>
        <v>113</v>
      </c>
      <c r="J22" s="102"/>
    </row>
    <row r="23" spans="1:12">
      <c r="A23" s="105"/>
      <c r="B23" s="102"/>
      <c r="C23" s="109"/>
      <c r="D23" s="110"/>
      <c r="E23" s="105"/>
      <c r="F23" s="101"/>
      <c r="G23" s="101"/>
      <c r="H23" s="101"/>
      <c r="J23" s="102"/>
    </row>
    <row r="24" spans="1:12">
      <c r="A24" s="105">
        <f>A22+1</f>
        <v>114</v>
      </c>
      <c r="B24" s="540" t="s">
        <v>298</v>
      </c>
      <c r="C24" s="109"/>
      <c r="D24" s="110"/>
      <c r="E24" s="105"/>
      <c r="F24" s="539">
        <f>ROUND(F22/F14,4)</f>
        <v>3.9399999999999998E-2</v>
      </c>
      <c r="G24" s="101" t="str">
        <f>CONCATENATE("Line ",A22," / ","Line ",A14)</f>
        <v>Line 113 / Line 107</v>
      </c>
      <c r="H24" s="105">
        <f t="shared" si="2"/>
        <v>114</v>
      </c>
      <c r="J24" s="102"/>
    </row>
    <row r="25" spans="1:12">
      <c r="A25" s="105"/>
      <c r="B25" s="114"/>
      <c r="C25" s="109"/>
      <c r="D25" s="110"/>
      <c r="E25" s="105"/>
      <c r="F25" s="101"/>
      <c r="G25" s="101"/>
      <c r="H25" s="101"/>
      <c r="J25" s="102"/>
    </row>
    <row r="26" spans="1:12">
      <c r="A26" s="105"/>
      <c r="B26" s="114"/>
      <c r="C26" s="109"/>
      <c r="D26" s="110"/>
      <c r="E26" s="105"/>
      <c r="F26" s="101"/>
      <c r="G26" s="101"/>
      <c r="H26" s="101"/>
      <c r="J26" s="102"/>
    </row>
    <row r="27" spans="1:12">
      <c r="A27" s="105"/>
      <c r="B27" s="115"/>
      <c r="C27" s="109"/>
      <c r="D27" s="110"/>
      <c r="E27" s="105"/>
      <c r="F27" s="101"/>
      <c r="G27" s="101"/>
      <c r="H27" s="101"/>
      <c r="J27" s="102"/>
    </row>
    <row r="28" spans="1:12" ht="12.75" customHeight="1">
      <c r="A28" s="105"/>
      <c r="B28" s="17"/>
      <c r="C28" s="99"/>
      <c r="D28" s="110"/>
      <c r="E28" s="105"/>
      <c r="F28" s="101"/>
      <c r="G28" s="101"/>
      <c r="H28" s="101"/>
      <c r="J28" s="102"/>
    </row>
    <row r="29" spans="1:12">
      <c r="C29" s="116"/>
    </row>
    <row r="30" spans="1:12">
      <c r="C30" s="116"/>
      <c r="L30" s="102"/>
    </row>
  </sheetData>
  <sheetProtection formatCells="0" formatColumns="0" formatRows="0" insertColumns="0" insertRows="0" insertHyperlinks="0" deleteColumns="0" deleteRows="0" selectLockedCells="1" sort="0" autoFilter="0" pivotTables="0"/>
  <conditionalFormatting sqref="F5:G5">
    <cfRule type="duplicateValues" dxfId="6" priority="1"/>
  </conditionalFormatting>
  <printOptions horizontalCentered="1"/>
  <pageMargins left="1" right="1" top="1" bottom="1" header="0.5" footer="0.5"/>
  <pageSetup scale="6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7"/>
  <sheetViews>
    <sheetView tabSelected="1" view="pageBreakPreview" zoomScale="55" zoomScaleNormal="85" zoomScaleSheetLayoutView="55" zoomScalePageLayoutView="70" workbookViewId="0">
      <selection activeCell="P108" sqref="P108"/>
    </sheetView>
  </sheetViews>
  <sheetFormatPr defaultColWidth="9.1796875" defaultRowHeight="14.5"/>
  <cols>
    <col min="1" max="1" width="4.54296875" bestFit="1" customWidth="1"/>
    <col min="2" max="2" width="16" customWidth="1"/>
    <col min="3" max="3" width="16.1796875" customWidth="1"/>
    <col min="4" max="4" width="17.26953125" customWidth="1"/>
    <col min="5" max="5" width="15.1796875" customWidth="1"/>
    <col min="6" max="6" width="17.453125" customWidth="1"/>
    <col min="7" max="7" width="13.7265625" bestFit="1" customWidth="1"/>
    <col min="8" max="8" width="18.54296875" customWidth="1"/>
    <col min="9" max="9" width="15.26953125" bestFit="1" customWidth="1"/>
    <col min="10" max="10" width="15" customWidth="1"/>
    <col min="11" max="11" width="4.54296875" bestFit="1" customWidth="1"/>
    <col min="12" max="12" width="9.1796875" customWidth="1"/>
    <col min="13" max="13" width="12" bestFit="1" customWidth="1"/>
    <col min="14" max="14" width="10.54296875" bestFit="1" customWidth="1"/>
  </cols>
  <sheetData>
    <row r="1" spans="1:11">
      <c r="B1" s="12" t="s">
        <v>37</v>
      </c>
      <c r="J1" s="15" t="str">
        <f>CONCATENATE("Prior Year: ",'1-BaseTRR'!$F$2)</f>
        <v>Prior Year: 2022</v>
      </c>
    </row>
    <row r="2" spans="1:11">
      <c r="B2" s="117" t="s">
        <v>196</v>
      </c>
      <c r="C2" s="49"/>
      <c r="J2" s="15"/>
    </row>
    <row r="3" spans="1:11">
      <c r="A3" s="13"/>
      <c r="K3" s="13"/>
    </row>
    <row r="4" spans="1:11">
      <c r="B4" s="118" t="s">
        <v>299</v>
      </c>
      <c r="C4" s="54"/>
      <c r="D4" s="54"/>
      <c r="E4" s="54"/>
      <c r="F4" s="54"/>
      <c r="G4" s="54"/>
      <c r="H4" s="54"/>
      <c r="I4" s="54"/>
      <c r="J4" s="54"/>
    </row>
    <row r="5" spans="1:11">
      <c r="A5" s="13" t="s">
        <v>124</v>
      </c>
      <c r="D5" s="119" t="s">
        <v>129</v>
      </c>
      <c r="E5" s="119" t="s">
        <v>300</v>
      </c>
      <c r="F5" s="119" t="s">
        <v>301</v>
      </c>
      <c r="K5" s="13" t="str">
        <f>A5</f>
        <v>Line</v>
      </c>
    </row>
    <row r="6" spans="1:11">
      <c r="A6" s="8">
        <v>100</v>
      </c>
      <c r="B6" s="120"/>
      <c r="C6" s="120"/>
      <c r="D6" s="120" t="s">
        <v>302</v>
      </c>
      <c r="E6" s="33">
        <f>J30</f>
        <v>13916317.264999999</v>
      </c>
      <c r="F6" t="str">
        <f>"Line "&amp;A30&amp;", "&amp;J17&amp;""</f>
        <v>Line 208, Col 9</v>
      </c>
      <c r="K6" s="8">
        <f>A6</f>
        <v>100</v>
      </c>
    </row>
    <row r="7" spans="1:11">
      <c r="A7" s="8">
        <f>A6+1</f>
        <v>101</v>
      </c>
      <c r="B7" s="120"/>
      <c r="C7" s="120"/>
      <c r="D7" s="120" t="s">
        <v>303</v>
      </c>
      <c r="E7" s="33">
        <f>G42</f>
        <v>0</v>
      </c>
      <c r="F7" t="str">
        <f>"Line "&amp;A42&amp;", "&amp;G33&amp;""</f>
        <v>Line 305, Col 6</v>
      </c>
      <c r="K7" s="8">
        <f>A7</f>
        <v>101</v>
      </c>
    </row>
    <row r="8" spans="1:11">
      <c r="A8" s="8">
        <f>A7+1</f>
        <v>102</v>
      </c>
      <c r="B8" s="120"/>
      <c r="C8" s="120"/>
      <c r="D8" s="15" t="s">
        <v>304</v>
      </c>
      <c r="E8" s="353">
        <f>E6+E7</f>
        <v>13916317.264999999</v>
      </c>
      <c r="F8" t="str">
        <f>"Line "&amp;A6&amp;" + Line "&amp;A7&amp;""</f>
        <v>Line 100 + Line 101</v>
      </c>
      <c r="K8" s="8">
        <f>A8</f>
        <v>102</v>
      </c>
    </row>
    <row r="9" spans="1:11">
      <c r="A9" s="8"/>
      <c r="B9" s="120"/>
      <c r="C9" s="120"/>
      <c r="D9" s="120"/>
      <c r="E9" s="33"/>
      <c r="K9" s="8"/>
    </row>
    <row r="10" spans="1:11">
      <c r="A10" s="8">
        <f>A8+1</f>
        <v>103</v>
      </c>
      <c r="B10" s="120"/>
      <c r="C10" s="120"/>
      <c r="D10" s="120" t="s">
        <v>305</v>
      </c>
      <c r="E10" s="33">
        <f>F30</f>
        <v>257994550</v>
      </c>
      <c r="F10" t="str">
        <f>"Line "&amp;A30&amp;", "&amp;F17&amp;""</f>
        <v>Line 208, Col 5</v>
      </c>
      <c r="K10" s="8">
        <f>A10</f>
        <v>103</v>
      </c>
    </row>
    <row r="11" spans="1:11">
      <c r="A11" s="8">
        <f>A10+1</f>
        <v>104</v>
      </c>
      <c r="B11" s="120"/>
      <c r="C11" s="120"/>
      <c r="D11" s="120" t="s">
        <v>306</v>
      </c>
      <c r="E11" s="33">
        <f>G30</f>
        <v>-5940273.2340178555</v>
      </c>
      <c r="F11" t="str">
        <f>"Line "&amp;A30&amp;", "&amp;G17&amp;""</f>
        <v>Line 208, Col 6</v>
      </c>
      <c r="K11" s="8">
        <f>A11</f>
        <v>104</v>
      </c>
    </row>
    <row r="12" spans="1:11">
      <c r="A12" s="8">
        <f>A11+1</f>
        <v>105</v>
      </c>
      <c r="B12" s="120"/>
      <c r="C12" s="120"/>
      <c r="D12" s="15" t="s">
        <v>307</v>
      </c>
      <c r="E12" s="353">
        <f>E10+E11</f>
        <v>252054276.76598215</v>
      </c>
      <c r="F12" t="str">
        <f>"Line "&amp;A10&amp;" + Line "&amp;A11&amp;""</f>
        <v>Line 103 + Line 104</v>
      </c>
      <c r="K12" s="8">
        <f>A12</f>
        <v>105</v>
      </c>
    </row>
    <row r="13" spans="1:11">
      <c r="A13" s="8"/>
      <c r="B13" s="120"/>
      <c r="C13" s="120"/>
      <c r="D13" s="120"/>
      <c r="K13" s="8"/>
    </row>
    <row r="14" spans="1:11">
      <c r="A14" s="8">
        <f>A12+1</f>
        <v>106</v>
      </c>
      <c r="B14" s="120"/>
      <c r="C14" s="120"/>
      <c r="D14" s="15" t="s">
        <v>308</v>
      </c>
      <c r="E14" s="371">
        <f>E8/E12</f>
        <v>5.5211589517762859E-2</v>
      </c>
      <c r="F14" t="str">
        <f>"Line "&amp;A8&amp;" / Line "&amp;A12&amp;""</f>
        <v>Line 102 / Line 105</v>
      </c>
      <c r="K14" s="8">
        <f>A14</f>
        <v>106</v>
      </c>
    </row>
    <row r="15" spans="1:11">
      <c r="A15" s="8"/>
      <c r="K15" s="8"/>
    </row>
    <row r="16" spans="1:11">
      <c r="B16" s="57" t="s">
        <v>309</v>
      </c>
      <c r="C16" s="54"/>
      <c r="D16" s="54"/>
      <c r="E16" s="54"/>
      <c r="F16" s="54"/>
      <c r="G16" s="54"/>
      <c r="H16" s="54"/>
      <c r="I16" s="54"/>
      <c r="J16" s="54"/>
    </row>
    <row r="17" spans="1:14">
      <c r="A17" s="8"/>
      <c r="B17" s="122" t="s">
        <v>100</v>
      </c>
      <c r="C17" s="122" t="s">
        <v>101</v>
      </c>
      <c r="D17" s="122" t="s">
        <v>102</v>
      </c>
      <c r="E17" s="122" t="s">
        <v>103</v>
      </c>
      <c r="F17" s="122" t="s">
        <v>104</v>
      </c>
      <c r="G17" s="122" t="s">
        <v>105</v>
      </c>
      <c r="H17" s="122" t="s">
        <v>106</v>
      </c>
      <c r="I17" s="122" t="s">
        <v>107</v>
      </c>
      <c r="J17" s="122" t="s">
        <v>108</v>
      </c>
      <c r="K17" s="8"/>
    </row>
    <row r="18" spans="1:14">
      <c r="A18" s="8"/>
      <c r="B18" s="123" t="s">
        <v>310</v>
      </c>
      <c r="C18" s="123" t="s">
        <v>310</v>
      </c>
      <c r="D18" s="123" t="s">
        <v>2025</v>
      </c>
      <c r="E18" s="123" t="s">
        <v>310</v>
      </c>
      <c r="F18" s="123" t="s">
        <v>2026</v>
      </c>
      <c r="G18" s="123" t="s">
        <v>310</v>
      </c>
      <c r="H18" s="123" t="s">
        <v>2027</v>
      </c>
      <c r="I18" s="124" t="s">
        <v>311</v>
      </c>
      <c r="J18" s="124" t="s">
        <v>2028</v>
      </c>
      <c r="K18" s="8"/>
    </row>
    <row r="19" spans="1:14">
      <c r="A19" s="8"/>
      <c r="B19" s="123" t="s">
        <v>125</v>
      </c>
      <c r="C19" s="123" t="s">
        <v>125</v>
      </c>
      <c r="D19" s="123"/>
      <c r="E19" s="123" t="s">
        <v>125</v>
      </c>
      <c r="F19" s="123"/>
      <c r="G19" s="123" t="s">
        <v>125</v>
      </c>
      <c r="H19" s="123"/>
      <c r="I19" s="124"/>
      <c r="J19" s="123" t="s">
        <v>126</v>
      </c>
      <c r="K19" s="8"/>
    </row>
    <row r="20" spans="1:14">
      <c r="A20" s="8"/>
      <c r="G20" s="43"/>
      <c r="J20" s="8"/>
      <c r="K20" s="8"/>
    </row>
    <row r="21" spans="1:14" ht="43.5">
      <c r="A21" s="13" t="s">
        <v>124</v>
      </c>
      <c r="B21" s="125" t="s">
        <v>312</v>
      </c>
      <c r="C21" s="125" t="s">
        <v>313</v>
      </c>
      <c r="D21" s="125" t="s">
        <v>314</v>
      </c>
      <c r="E21" s="125" t="s">
        <v>315</v>
      </c>
      <c r="F21" s="125" t="s">
        <v>1260</v>
      </c>
      <c r="G21" s="125" t="s">
        <v>1259</v>
      </c>
      <c r="H21" s="125" t="s">
        <v>316</v>
      </c>
      <c r="I21" s="125" t="s">
        <v>1256</v>
      </c>
      <c r="J21" s="125" t="s">
        <v>1258</v>
      </c>
      <c r="K21" s="13" t="str">
        <f>A21</f>
        <v>Line</v>
      </c>
    </row>
    <row r="22" spans="1:14">
      <c r="A22" s="8">
        <v>200</v>
      </c>
      <c r="B22" s="126" t="s">
        <v>1938</v>
      </c>
      <c r="C22" s="533">
        <v>1914</v>
      </c>
      <c r="D22" s="127">
        <v>0.06</v>
      </c>
      <c r="E22" s="128">
        <v>1.5</v>
      </c>
      <c r="F22" s="462">
        <v>105291525</v>
      </c>
      <c r="G22" s="352">
        <v>-7366504.2509265905</v>
      </c>
      <c r="H22" s="129">
        <v>4211661</v>
      </c>
      <c r="I22" s="33">
        <f>F22+G22</f>
        <v>97925020.749073416</v>
      </c>
      <c r="J22" s="33">
        <f>(H22*E22)</f>
        <v>6317491.5</v>
      </c>
      <c r="K22" s="8">
        <f t="shared" ref="K22:K30" si="0">A22</f>
        <v>200</v>
      </c>
      <c r="M22" s="40"/>
      <c r="N22" s="40"/>
    </row>
    <row r="23" spans="1:14">
      <c r="A23" s="8">
        <f>A22+1</f>
        <v>201</v>
      </c>
      <c r="B23" s="126" t="s">
        <v>1939</v>
      </c>
      <c r="C23" s="534">
        <v>1929</v>
      </c>
      <c r="D23" s="127">
        <v>5.5E-2</v>
      </c>
      <c r="E23" s="128">
        <v>1.375</v>
      </c>
      <c r="F23" s="462">
        <v>29329075</v>
      </c>
      <c r="G23" s="352">
        <v>-173730</v>
      </c>
      <c r="H23" s="129">
        <v>1173163</v>
      </c>
      <c r="I23" s="33">
        <f t="shared" ref="I23:I29" si="1">F23+G23</f>
        <v>29155345</v>
      </c>
      <c r="J23" s="33">
        <f t="shared" ref="J23:J29" si="2">(H23*E23)</f>
        <v>1613099.125</v>
      </c>
      <c r="K23" s="8">
        <f t="shared" si="0"/>
        <v>201</v>
      </c>
      <c r="M23" s="40"/>
      <c r="N23" s="40"/>
    </row>
    <row r="24" spans="1:14">
      <c r="A24" s="8">
        <f t="shared" ref="A24:A30" si="3">A23+1</f>
        <v>202</v>
      </c>
      <c r="B24" s="126" t="s">
        <v>1940</v>
      </c>
      <c r="C24" s="534">
        <v>15166</v>
      </c>
      <c r="D24" s="127">
        <v>0.05</v>
      </c>
      <c r="E24" s="128">
        <v>1.25</v>
      </c>
      <c r="F24" s="462">
        <v>10000000</v>
      </c>
      <c r="G24" s="352">
        <v>726283</v>
      </c>
      <c r="H24" s="129">
        <v>400000</v>
      </c>
      <c r="I24" s="33">
        <f t="shared" si="1"/>
        <v>10726283</v>
      </c>
      <c r="J24" s="33">
        <f t="shared" si="2"/>
        <v>500000</v>
      </c>
      <c r="K24" s="8">
        <f t="shared" si="0"/>
        <v>202</v>
      </c>
      <c r="M24" s="40"/>
      <c r="N24" s="40"/>
    </row>
    <row r="25" spans="1:14">
      <c r="A25" s="8">
        <f t="shared" si="3"/>
        <v>203</v>
      </c>
      <c r="B25" s="126" t="s">
        <v>1941</v>
      </c>
      <c r="C25" s="534">
        <v>17712</v>
      </c>
      <c r="D25" s="127">
        <v>0.05</v>
      </c>
      <c r="E25" s="128">
        <v>1.25</v>
      </c>
      <c r="F25" s="462">
        <v>44454300</v>
      </c>
      <c r="G25" s="352">
        <v>-716366</v>
      </c>
      <c r="H25" s="129">
        <v>1778172</v>
      </c>
      <c r="I25" s="33">
        <f t="shared" si="1"/>
        <v>43737934</v>
      </c>
      <c r="J25" s="33">
        <f t="shared" si="2"/>
        <v>2222715</v>
      </c>
      <c r="K25" s="8">
        <f t="shared" si="0"/>
        <v>203</v>
      </c>
      <c r="M25" s="40"/>
      <c r="N25" s="40"/>
    </row>
    <row r="26" spans="1:14">
      <c r="A26" s="8">
        <f t="shared" si="3"/>
        <v>204</v>
      </c>
      <c r="B26" s="126" t="s">
        <v>1942</v>
      </c>
      <c r="C26" s="534">
        <v>18022</v>
      </c>
      <c r="D26" s="127">
        <v>0.05</v>
      </c>
      <c r="E26" s="128">
        <v>1.25</v>
      </c>
      <c r="F26" s="462">
        <v>23358050</v>
      </c>
      <c r="G26" s="352">
        <v>542539</v>
      </c>
      <c r="H26" s="129">
        <v>934322</v>
      </c>
      <c r="I26" s="33">
        <f t="shared" si="1"/>
        <v>23900589</v>
      </c>
      <c r="J26" s="33">
        <f t="shared" si="2"/>
        <v>1167902.5</v>
      </c>
      <c r="K26" s="8">
        <f t="shared" si="0"/>
        <v>204</v>
      </c>
      <c r="M26" s="40"/>
      <c r="N26" s="40"/>
    </row>
    <row r="27" spans="1:14">
      <c r="A27" s="8">
        <f t="shared" si="3"/>
        <v>205</v>
      </c>
      <c r="B27" s="126" t="s">
        <v>1943</v>
      </c>
      <c r="C27" s="534">
        <v>18288</v>
      </c>
      <c r="D27" s="127">
        <v>4.8000000000000001E-2</v>
      </c>
      <c r="E27" s="128">
        <v>1.2</v>
      </c>
      <c r="F27" s="462">
        <v>19825775</v>
      </c>
      <c r="G27" s="352">
        <v>1006320.34261801</v>
      </c>
      <c r="H27" s="129">
        <v>793031</v>
      </c>
      <c r="I27" s="33">
        <f t="shared" si="1"/>
        <v>20832095.342618011</v>
      </c>
      <c r="J27" s="33">
        <f t="shared" si="2"/>
        <v>951637.2</v>
      </c>
      <c r="K27" s="8">
        <f t="shared" si="0"/>
        <v>205</v>
      </c>
      <c r="M27" s="40"/>
      <c r="N27" s="40"/>
    </row>
    <row r="28" spans="1:14">
      <c r="A28" s="8">
        <f t="shared" si="3"/>
        <v>206</v>
      </c>
      <c r="B28" s="126" t="s">
        <v>1944</v>
      </c>
      <c r="C28" s="534">
        <v>19897</v>
      </c>
      <c r="D28" s="127">
        <v>4.4999999999999998E-2</v>
      </c>
      <c r="E28" s="128">
        <v>1.125</v>
      </c>
      <c r="F28" s="462">
        <v>15278550</v>
      </c>
      <c r="G28" s="352">
        <v>70693.849467725595</v>
      </c>
      <c r="H28" s="129">
        <v>611142</v>
      </c>
      <c r="I28" s="33">
        <f t="shared" si="1"/>
        <v>15349243.849467726</v>
      </c>
      <c r="J28" s="33">
        <f t="shared" si="2"/>
        <v>687534.75</v>
      </c>
      <c r="K28" s="8">
        <f t="shared" si="0"/>
        <v>206</v>
      </c>
      <c r="M28" s="40"/>
      <c r="N28" s="40"/>
    </row>
    <row r="29" spans="1:14">
      <c r="A29" s="8">
        <f t="shared" si="3"/>
        <v>207</v>
      </c>
      <c r="B29" s="126" t="s">
        <v>1945</v>
      </c>
      <c r="C29" s="534">
        <v>20387</v>
      </c>
      <c r="D29" s="127">
        <v>4.36E-2</v>
      </c>
      <c r="E29" s="128">
        <v>1.0900000000000001</v>
      </c>
      <c r="F29" s="462">
        <v>10457275</v>
      </c>
      <c r="G29" s="352">
        <v>-29509.175177000001</v>
      </c>
      <c r="H29" s="129">
        <v>418291</v>
      </c>
      <c r="I29" s="33">
        <f t="shared" si="1"/>
        <v>10427765.824823</v>
      </c>
      <c r="J29" s="33">
        <f t="shared" si="2"/>
        <v>455937.19000000006</v>
      </c>
      <c r="K29" s="8">
        <f t="shared" si="0"/>
        <v>207</v>
      </c>
      <c r="M29" s="40"/>
      <c r="N29" s="40"/>
    </row>
    <row r="30" spans="1:14">
      <c r="A30" s="8">
        <f t="shared" si="3"/>
        <v>208</v>
      </c>
      <c r="E30" s="130" t="s">
        <v>1255</v>
      </c>
      <c r="F30" s="463">
        <f>SUM(F22:F29)</f>
        <v>257994550</v>
      </c>
      <c r="G30" s="463">
        <f>SUM(G22:G29)</f>
        <v>-5940273.2340178555</v>
      </c>
      <c r="H30" s="413">
        <f>SUM(H22:H29)</f>
        <v>10319782</v>
      </c>
      <c r="I30" s="463">
        <f>SUM(I22:I29)</f>
        <v>252054276.76598215</v>
      </c>
      <c r="J30" s="463">
        <f>SUM(J22:J29)</f>
        <v>13916317.264999999</v>
      </c>
      <c r="K30" s="8">
        <f t="shared" si="0"/>
        <v>208</v>
      </c>
      <c r="N30" s="28"/>
    </row>
    <row r="32" spans="1:14">
      <c r="B32" s="57" t="s">
        <v>317</v>
      </c>
      <c r="C32" s="54"/>
      <c r="D32" s="54"/>
      <c r="E32" s="54"/>
      <c r="F32" s="54"/>
      <c r="G32" s="54"/>
      <c r="H32" s="54"/>
      <c r="I32" s="54"/>
      <c r="J32" s="54"/>
    </row>
    <row r="33" spans="1:11">
      <c r="B33" s="122" t="s">
        <v>100</v>
      </c>
      <c r="C33" s="122" t="s">
        <v>101</v>
      </c>
      <c r="D33" s="122" t="s">
        <v>102</v>
      </c>
      <c r="E33" s="122" t="s">
        <v>103</v>
      </c>
      <c r="F33" s="122" t="s">
        <v>104</v>
      </c>
      <c r="G33" s="122" t="s">
        <v>105</v>
      </c>
    </row>
    <row r="34" spans="1:11">
      <c r="B34" s="131"/>
      <c r="C34" s="131"/>
      <c r="D34" s="131"/>
      <c r="E34" s="131"/>
      <c r="F34" s="131"/>
      <c r="G34" s="131"/>
      <c r="H34" s="132"/>
    </row>
    <row r="36" spans="1:11" ht="43.5">
      <c r="A36" s="13" t="s">
        <v>124</v>
      </c>
      <c r="B36" s="421" t="s">
        <v>34</v>
      </c>
      <c r="C36" s="125" t="s">
        <v>318</v>
      </c>
      <c r="D36" s="422" t="s">
        <v>319</v>
      </c>
      <c r="E36" s="422" t="s">
        <v>1261</v>
      </c>
      <c r="F36" s="422" t="s">
        <v>320</v>
      </c>
      <c r="G36" s="422" t="s">
        <v>1262</v>
      </c>
      <c r="H36" s="423" t="s">
        <v>321</v>
      </c>
      <c r="I36" s="44"/>
      <c r="K36" s="13" t="str">
        <f t="shared" ref="K36:K42" si="4">A36</f>
        <v>Line</v>
      </c>
    </row>
    <row r="37" spans="1:11">
      <c r="A37" s="8">
        <v>300</v>
      </c>
      <c r="B37" s="133"/>
      <c r="C37" s="134"/>
      <c r="D37" s="135"/>
      <c r="E37" s="135"/>
      <c r="F37" s="126"/>
      <c r="G37" s="135"/>
      <c r="H37" s="136"/>
      <c r="K37" s="8">
        <f t="shared" si="4"/>
        <v>300</v>
      </c>
    </row>
    <row r="38" spans="1:11">
      <c r="A38" s="8">
        <f>A37+1</f>
        <v>301</v>
      </c>
      <c r="B38" s="133"/>
      <c r="C38" s="134"/>
      <c r="D38" s="135"/>
      <c r="E38" s="135"/>
      <c r="F38" s="126"/>
      <c r="G38" s="135"/>
      <c r="H38" s="135"/>
      <c r="K38" s="8">
        <f t="shared" si="4"/>
        <v>301</v>
      </c>
    </row>
    <row r="39" spans="1:11">
      <c r="A39" s="8">
        <f t="shared" ref="A39:A42" si="5">A38+1</f>
        <v>302</v>
      </c>
      <c r="B39" s="133"/>
      <c r="C39" s="134"/>
      <c r="D39" s="135"/>
      <c r="E39" s="135"/>
      <c r="F39" s="126"/>
      <c r="G39" s="135"/>
      <c r="H39" s="135"/>
      <c r="K39" s="8">
        <f t="shared" si="4"/>
        <v>302</v>
      </c>
    </row>
    <row r="40" spans="1:11">
      <c r="A40" s="8">
        <f t="shared" si="5"/>
        <v>303</v>
      </c>
      <c r="B40" s="137"/>
      <c r="C40" s="134"/>
      <c r="D40" s="135"/>
      <c r="E40" s="135"/>
      <c r="F40" s="126"/>
      <c r="G40" s="135"/>
      <c r="H40" s="135"/>
      <c r="K40" s="8">
        <f t="shared" si="4"/>
        <v>303</v>
      </c>
    </row>
    <row r="41" spans="1:11">
      <c r="A41" s="8">
        <f t="shared" si="5"/>
        <v>304</v>
      </c>
      <c r="B41" s="138" t="s">
        <v>322</v>
      </c>
      <c r="C41" s="139"/>
      <c r="D41" s="139"/>
      <c r="E41" s="139"/>
      <c r="F41" s="139"/>
      <c r="G41" s="139"/>
      <c r="H41" s="139"/>
      <c r="I41" s="140"/>
      <c r="K41" s="8">
        <f t="shared" si="4"/>
        <v>304</v>
      </c>
    </row>
    <row r="42" spans="1:11">
      <c r="A42" s="8">
        <f t="shared" si="5"/>
        <v>305</v>
      </c>
      <c r="D42" s="130" t="s">
        <v>1257</v>
      </c>
      <c r="E42" s="121">
        <f>SUM(E37:E41)*1000</f>
        <v>0</v>
      </c>
      <c r="F42" s="121"/>
      <c r="G42" s="121">
        <f>SUM(G37:G41)*1000</f>
        <v>0</v>
      </c>
      <c r="K42" s="8">
        <f t="shared" si="4"/>
        <v>305</v>
      </c>
    </row>
    <row r="44" spans="1:11">
      <c r="B44" s="16" t="s">
        <v>127</v>
      </c>
    </row>
    <row r="45" spans="1:11">
      <c r="B45" t="s">
        <v>1147</v>
      </c>
    </row>
    <row r="46" spans="1:11">
      <c r="B46" t="s">
        <v>1148</v>
      </c>
    </row>
    <row r="47" spans="1:11">
      <c r="B47" s="141" t="s">
        <v>323</v>
      </c>
    </row>
  </sheetData>
  <printOptions horizontalCentered="1"/>
  <pageMargins left="1" right="1" top="1" bottom="1" header="0.5" footer="0.5"/>
  <pageSetup scale="7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0"/>
  <sheetViews>
    <sheetView tabSelected="1" view="pageBreakPreview" zoomScale="55" zoomScaleSheetLayoutView="55" zoomScalePageLayoutView="70" workbookViewId="0">
      <selection activeCell="P108" sqref="P108"/>
    </sheetView>
  </sheetViews>
  <sheetFormatPr defaultColWidth="9.1796875" defaultRowHeight="14.5"/>
  <cols>
    <col min="1" max="1" width="5.453125" customWidth="1"/>
    <col min="2" max="2" width="14.54296875" style="17" customWidth="1"/>
    <col min="3" max="3" width="50.7265625" style="17" bestFit="1" customWidth="1"/>
    <col min="4" max="4" width="18.453125" style="17" customWidth="1"/>
    <col min="5" max="5" width="25.453125" style="17" customWidth="1"/>
    <col min="6" max="6" width="15.54296875" style="17" customWidth="1"/>
    <col min="7" max="7" width="20" style="17" customWidth="1"/>
    <col min="8" max="8" width="35.54296875" style="17" customWidth="1"/>
    <col min="9" max="9" width="20" customWidth="1"/>
    <col min="10" max="10" width="5.453125" customWidth="1"/>
    <col min="11" max="12" width="9.1796875" customWidth="1"/>
  </cols>
  <sheetData>
    <row r="1" spans="1:11">
      <c r="B1" s="142" t="s">
        <v>1937</v>
      </c>
      <c r="E1" s="143"/>
      <c r="G1" s="43"/>
      <c r="H1" s="15"/>
      <c r="I1" s="15" t="str">
        <f>CONCATENATE("Prior Year: ",'1-BaseTRR'!$F$2)</f>
        <v>Prior Year: 2022</v>
      </c>
    </row>
    <row r="2" spans="1:11">
      <c r="B2" s="117" t="s">
        <v>196</v>
      </c>
      <c r="C2" s="117"/>
      <c r="G2" s="43"/>
      <c r="H2" s="43"/>
      <c r="I2" s="15"/>
    </row>
    <row r="4" spans="1:11">
      <c r="B4" s="118" t="s">
        <v>324</v>
      </c>
      <c r="C4" s="144"/>
      <c r="D4" s="144"/>
      <c r="E4" s="145"/>
      <c r="F4" s="145"/>
      <c r="G4" s="145"/>
      <c r="H4" s="145"/>
      <c r="I4" s="144"/>
    </row>
    <row r="5" spans="1:11">
      <c r="B5" t="s">
        <v>325</v>
      </c>
      <c r="C5"/>
      <c r="D5"/>
      <c r="E5"/>
      <c r="F5"/>
      <c r="G5"/>
      <c r="H5"/>
    </row>
    <row r="6" spans="1:11">
      <c r="B6" t="s">
        <v>1160</v>
      </c>
      <c r="C6"/>
      <c r="D6"/>
      <c r="E6"/>
      <c r="F6"/>
      <c r="G6"/>
      <c r="H6"/>
    </row>
    <row r="7" spans="1:11">
      <c r="B7" t="s">
        <v>1161</v>
      </c>
      <c r="C7"/>
      <c r="D7"/>
      <c r="E7"/>
      <c r="F7"/>
      <c r="G7"/>
      <c r="H7"/>
    </row>
    <row r="8" spans="1:11">
      <c r="B8"/>
      <c r="C8"/>
      <c r="D8"/>
      <c r="E8"/>
      <c r="F8"/>
      <c r="G8"/>
      <c r="H8"/>
    </row>
    <row r="9" spans="1:11">
      <c r="D9" s="122" t="s">
        <v>100</v>
      </c>
      <c r="E9" s="122" t="s">
        <v>101</v>
      </c>
      <c r="F9" s="122" t="s">
        <v>102</v>
      </c>
      <c r="G9" s="122" t="s">
        <v>103</v>
      </c>
      <c r="H9" s="122" t="s">
        <v>104</v>
      </c>
      <c r="I9" s="122" t="s">
        <v>105</v>
      </c>
    </row>
    <row r="10" spans="1:11">
      <c r="A10" s="146"/>
      <c r="B10" s="146"/>
      <c r="C10" s="146"/>
      <c r="D10" s="146"/>
      <c r="E10" s="146"/>
      <c r="F10" s="146" t="s">
        <v>125</v>
      </c>
      <c r="G10" s="146"/>
      <c r="H10" s="146"/>
      <c r="I10" s="146" t="s">
        <v>326</v>
      </c>
      <c r="J10" s="146"/>
    </row>
    <row r="11" spans="1:11">
      <c r="A11" s="146"/>
      <c r="B11" s="146"/>
      <c r="C11" s="146"/>
      <c r="D11" s="146"/>
      <c r="E11" s="146"/>
      <c r="F11" s="146"/>
      <c r="G11" s="146"/>
      <c r="H11" s="146"/>
      <c r="I11" s="146"/>
      <c r="J11" s="146"/>
    </row>
    <row r="12" spans="1:11">
      <c r="B12" s="142"/>
      <c r="C12" s="142"/>
      <c r="D12" s="131" t="s">
        <v>327</v>
      </c>
      <c r="E12" s="131"/>
      <c r="F12" s="131"/>
      <c r="G12" s="123" t="s">
        <v>328</v>
      </c>
      <c r="H12" s="123"/>
      <c r="I12" s="123" t="s">
        <v>329</v>
      </c>
    </row>
    <row r="13" spans="1:11">
      <c r="A13" s="119" t="s">
        <v>124</v>
      </c>
      <c r="B13" s="119" t="s">
        <v>330</v>
      </c>
      <c r="C13" s="119" t="s">
        <v>331</v>
      </c>
      <c r="D13" s="119" t="s">
        <v>1</v>
      </c>
      <c r="E13" s="119" t="s">
        <v>332</v>
      </c>
      <c r="F13" s="119" t="s">
        <v>333</v>
      </c>
      <c r="G13" s="119" t="s">
        <v>1</v>
      </c>
      <c r="H13" s="119" t="s">
        <v>334</v>
      </c>
      <c r="I13" s="119" t="s">
        <v>1</v>
      </c>
      <c r="J13" s="119" t="str">
        <f t="shared" ref="J13:J24" si="0">A13</f>
        <v>Line</v>
      </c>
    </row>
    <row r="14" spans="1:11">
      <c r="A14" s="131">
        <v>100</v>
      </c>
      <c r="B14" s="27">
        <v>350</v>
      </c>
      <c r="C14" s="4" t="s">
        <v>335</v>
      </c>
      <c r="D14" s="464">
        <v>320034388</v>
      </c>
      <c r="E14" s="799" t="s">
        <v>1994</v>
      </c>
      <c r="F14" s="464"/>
      <c r="G14" s="466">
        <f>'7-PlantInService'!D24+'7-PlantInService'!E24</f>
        <v>305374408.20253754</v>
      </c>
      <c r="H14" s="147" t="s">
        <v>1048</v>
      </c>
      <c r="I14" s="466">
        <f>+D14+F14-G14</f>
        <v>14659979.797462463</v>
      </c>
      <c r="J14" s="131">
        <f t="shared" si="0"/>
        <v>100</v>
      </c>
    </row>
    <row r="15" spans="1:11">
      <c r="A15" s="131">
        <f t="shared" ref="A15:A24" si="1">A14+1</f>
        <v>101</v>
      </c>
      <c r="B15" s="27">
        <v>352</v>
      </c>
      <c r="C15" s="4" t="s">
        <v>336</v>
      </c>
      <c r="D15" s="464">
        <v>497382410</v>
      </c>
      <c r="E15" s="799" t="s">
        <v>1995</v>
      </c>
      <c r="F15" s="464"/>
      <c r="G15" s="466">
        <f>'7-PlantInService'!F24+'7-PlantInService'!G24</f>
        <v>488570818.1088779</v>
      </c>
      <c r="H15" s="147" t="s">
        <v>1049</v>
      </c>
      <c r="I15" s="466">
        <f t="shared" ref="I15:I23" si="2">+D15+F15-G15</f>
        <v>8811591.8911221027</v>
      </c>
      <c r="J15" s="131">
        <f t="shared" si="0"/>
        <v>101</v>
      </c>
      <c r="K15" s="148"/>
    </row>
    <row r="16" spans="1:11">
      <c r="A16" s="131">
        <f t="shared" si="1"/>
        <v>102</v>
      </c>
      <c r="B16" s="27">
        <v>353</v>
      </c>
      <c r="C16" s="4" t="s">
        <v>337</v>
      </c>
      <c r="D16" s="464">
        <v>8120053053</v>
      </c>
      <c r="E16" s="799" t="s">
        <v>1996</v>
      </c>
      <c r="F16" s="464">
        <v>-491897.41999831999</v>
      </c>
      <c r="G16" s="466">
        <f>'7-PlantInService'!H24+'7-PlantInService'!I24</f>
        <v>7742763833.6352015</v>
      </c>
      <c r="H16" s="147" t="s">
        <v>1050</v>
      </c>
      <c r="I16" s="466">
        <f t="shared" si="2"/>
        <v>376797321.94480038</v>
      </c>
      <c r="J16" s="131">
        <f t="shared" si="0"/>
        <v>102</v>
      </c>
      <c r="K16" s="17"/>
    </row>
    <row r="17" spans="1:12">
      <c r="A17" s="131">
        <f t="shared" si="1"/>
        <v>103</v>
      </c>
      <c r="B17" s="149">
        <v>354</v>
      </c>
      <c r="C17" s="5" t="s">
        <v>338</v>
      </c>
      <c r="D17" s="465">
        <v>1155768326</v>
      </c>
      <c r="E17" s="799" t="s">
        <v>1997</v>
      </c>
      <c r="F17" s="465">
        <v>392131.50000083447</v>
      </c>
      <c r="G17" s="466">
        <f>'7-PlantInService'!J24</f>
        <v>1062242405.8880787</v>
      </c>
      <c r="H17" s="147" t="s">
        <v>1051</v>
      </c>
      <c r="I17" s="466">
        <f t="shared" si="2"/>
        <v>93918051.611922264</v>
      </c>
      <c r="J17" s="131">
        <f t="shared" si="0"/>
        <v>103</v>
      </c>
    </row>
    <row r="18" spans="1:12">
      <c r="A18" s="131">
        <f t="shared" si="1"/>
        <v>104</v>
      </c>
      <c r="B18" s="27">
        <v>355</v>
      </c>
      <c r="C18" s="4" t="s">
        <v>339</v>
      </c>
      <c r="D18" s="465">
        <v>2499854016</v>
      </c>
      <c r="E18" s="799" t="s">
        <v>1998</v>
      </c>
      <c r="F18" s="465">
        <v>-145143.87999773026</v>
      </c>
      <c r="G18" s="466">
        <f>'7-PlantInService'!K24</f>
        <v>2381845833.3490334</v>
      </c>
      <c r="H18" s="147" t="s">
        <v>1052</v>
      </c>
      <c r="I18" s="466">
        <f t="shared" si="2"/>
        <v>117863038.77096891</v>
      </c>
      <c r="J18" s="131">
        <f t="shared" si="0"/>
        <v>104</v>
      </c>
    </row>
    <row r="19" spans="1:12">
      <c r="A19" s="131">
        <f t="shared" si="1"/>
        <v>105</v>
      </c>
      <c r="B19" s="27">
        <v>356</v>
      </c>
      <c r="C19" s="4" t="s">
        <v>340</v>
      </c>
      <c r="D19" s="465">
        <v>2851598858</v>
      </c>
      <c r="E19" s="799" t="s">
        <v>1999</v>
      </c>
      <c r="F19" s="465">
        <v>-292996.98001146317</v>
      </c>
      <c r="G19" s="466">
        <f>'7-PlantInService'!L24</f>
        <v>2686127973.6737804</v>
      </c>
      <c r="H19" s="147" t="s">
        <v>1053</v>
      </c>
      <c r="I19" s="466">
        <f t="shared" si="2"/>
        <v>165177887.3462081</v>
      </c>
      <c r="J19" s="131">
        <f t="shared" si="0"/>
        <v>105</v>
      </c>
    </row>
    <row r="20" spans="1:12">
      <c r="A20" s="131">
        <f t="shared" si="1"/>
        <v>106</v>
      </c>
      <c r="B20" s="27">
        <v>357</v>
      </c>
      <c r="C20" s="4" t="s">
        <v>341</v>
      </c>
      <c r="D20" s="465">
        <v>527902080</v>
      </c>
      <c r="E20" s="799" t="s">
        <v>2000</v>
      </c>
      <c r="F20" s="465"/>
      <c r="G20" s="466">
        <f>'7-PlantInService'!M24</f>
        <v>523695481.2628119</v>
      </c>
      <c r="H20" s="147" t="s">
        <v>1054</v>
      </c>
      <c r="I20" s="466">
        <f t="shared" si="2"/>
        <v>4206598.7371881008</v>
      </c>
      <c r="J20" s="131">
        <f t="shared" si="0"/>
        <v>106</v>
      </c>
      <c r="K20" s="17"/>
    </row>
    <row r="21" spans="1:12">
      <c r="A21" s="131">
        <f t="shared" si="1"/>
        <v>107</v>
      </c>
      <c r="B21" s="27">
        <v>358</v>
      </c>
      <c r="C21" s="4" t="s">
        <v>342</v>
      </c>
      <c r="D21" s="465">
        <v>288211156</v>
      </c>
      <c r="E21" s="799" t="s">
        <v>2001</v>
      </c>
      <c r="F21" s="465"/>
      <c r="G21" s="466">
        <f>'7-PlantInService'!N24</f>
        <v>281894975.36176646</v>
      </c>
      <c r="H21" s="147" t="s">
        <v>1055</v>
      </c>
      <c r="I21" s="466">
        <f t="shared" si="2"/>
        <v>6316180.6382335424</v>
      </c>
      <c r="J21" s="131">
        <f t="shared" si="0"/>
        <v>107</v>
      </c>
    </row>
    <row r="22" spans="1:12">
      <c r="A22" s="131">
        <f t="shared" si="1"/>
        <v>108</v>
      </c>
      <c r="B22" s="27">
        <v>359</v>
      </c>
      <c r="C22" s="4" t="s">
        <v>343</v>
      </c>
      <c r="D22" s="465">
        <v>194053726</v>
      </c>
      <c r="E22" s="799" t="s">
        <v>2002</v>
      </c>
      <c r="F22" s="465"/>
      <c r="G22" s="466">
        <f>'7-PlantInService'!O24</f>
        <v>186139561.6063633</v>
      </c>
      <c r="H22" s="147" t="s">
        <v>1056</v>
      </c>
      <c r="I22" s="466">
        <f t="shared" si="2"/>
        <v>7914164.3936367035</v>
      </c>
      <c r="J22" s="131">
        <f t="shared" si="0"/>
        <v>108</v>
      </c>
    </row>
    <row r="23" spans="1:12">
      <c r="A23" s="131">
        <f t="shared" si="1"/>
        <v>109</v>
      </c>
      <c r="B23" s="27">
        <v>359.1</v>
      </c>
      <c r="C23" s="4" t="s">
        <v>1156</v>
      </c>
      <c r="D23" s="465">
        <v>50429472</v>
      </c>
      <c r="E23" s="799" t="s">
        <v>2003</v>
      </c>
      <c r="F23" s="465">
        <v>-50429472</v>
      </c>
      <c r="G23" s="466">
        <v>0</v>
      </c>
      <c r="H23" s="147" t="s">
        <v>126</v>
      </c>
      <c r="I23" s="466">
        <f t="shared" si="2"/>
        <v>0</v>
      </c>
      <c r="J23" s="131">
        <f t="shared" si="0"/>
        <v>109</v>
      </c>
    </row>
    <row r="24" spans="1:12">
      <c r="A24" s="131">
        <f t="shared" si="1"/>
        <v>110</v>
      </c>
      <c r="B24" s="415"/>
      <c r="C24" s="541" t="s">
        <v>344</v>
      </c>
      <c r="D24" s="542">
        <f>SUM(D14:D23)</f>
        <v>16505287485</v>
      </c>
      <c r="E24" s="543"/>
      <c r="F24" s="542">
        <f>SUM(F14:F23)</f>
        <v>-50967378.780006677</v>
      </c>
      <c r="G24" s="542">
        <f>SUM(G14:G23)</f>
        <v>15658655291.088451</v>
      </c>
      <c r="H24" s="543"/>
      <c r="I24" s="542">
        <f>SUM(I14:I23)</f>
        <v>795664815.13154256</v>
      </c>
      <c r="J24" s="131">
        <f t="shared" si="0"/>
        <v>110</v>
      </c>
    </row>
    <row r="25" spans="1:12">
      <c r="A25" s="140"/>
      <c r="B25" s="140"/>
      <c r="C25" s="140"/>
      <c r="D25" s="146"/>
      <c r="E25" s="140"/>
      <c r="F25" s="140"/>
      <c r="G25" s="146"/>
      <c r="H25" s="140"/>
      <c r="I25" s="140"/>
      <c r="J25" s="140"/>
      <c r="K25" s="140"/>
      <c r="L25" s="140"/>
    </row>
    <row r="26" spans="1:12">
      <c r="B26" s="16" t="s">
        <v>127</v>
      </c>
    </row>
    <row r="27" spans="1:12">
      <c r="B27" s="414" t="s">
        <v>1871</v>
      </c>
      <c r="C27" s="117"/>
      <c r="D27" s="117"/>
      <c r="E27" s="117"/>
      <c r="F27" s="117"/>
      <c r="G27" s="117"/>
      <c r="H27" s="117"/>
    </row>
    <row r="28" spans="1:12" ht="15" customHeight="1">
      <c r="B28" s="414" t="s">
        <v>1872</v>
      </c>
      <c r="C28" s="414"/>
      <c r="D28" s="414"/>
      <c r="E28" s="414"/>
      <c r="F28" s="414"/>
      <c r="G28" s="414"/>
      <c r="H28" s="414"/>
    </row>
    <row r="29" spans="1:12">
      <c r="B29" s="414" t="s">
        <v>1167</v>
      </c>
      <c r="C29" s="414"/>
      <c r="D29" s="414"/>
      <c r="E29" s="414"/>
      <c r="F29" s="414"/>
      <c r="G29" s="414"/>
      <c r="H29" s="414"/>
    </row>
    <row r="30" spans="1:12" ht="15" customHeight="1">
      <c r="A30" s="18"/>
      <c r="B30"/>
      <c r="C30"/>
      <c r="D30"/>
      <c r="E30"/>
      <c r="F30"/>
      <c r="G30"/>
      <c r="H30"/>
    </row>
  </sheetData>
  <printOptions horizontalCentered="1"/>
  <pageMargins left="1" right="1" top="1" bottom="1" header="0.5" footer="0.5"/>
  <pageSetup scale="54"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37"/>
  <sheetViews>
    <sheetView tabSelected="1" view="pageBreakPreview" topLeftCell="A100" zoomScale="55" zoomScaleNormal="90" zoomScaleSheetLayoutView="55" zoomScalePageLayoutView="70" workbookViewId="0">
      <selection activeCell="P108" sqref="P108"/>
    </sheetView>
  </sheetViews>
  <sheetFormatPr defaultColWidth="8.81640625" defaultRowHeight="14.5"/>
  <cols>
    <col min="1" max="1" width="6.81640625" style="30" bestFit="1" customWidth="1"/>
    <col min="2" max="2" width="14" customWidth="1"/>
    <col min="3" max="3" width="14.453125" customWidth="1"/>
    <col min="4" max="4" width="21.54296875" bestFit="1" customWidth="1"/>
    <col min="5" max="5" width="17.54296875" customWidth="1"/>
    <col min="6" max="6" width="15.81640625" customWidth="1"/>
    <col min="7" max="8" width="17.81640625" customWidth="1"/>
    <col min="9" max="9" width="13.54296875" customWidth="1"/>
    <col min="10" max="10" width="15.453125" customWidth="1"/>
    <col min="11" max="12" width="17.26953125" customWidth="1"/>
    <col min="13" max="15" width="15.453125" customWidth="1"/>
    <col min="16" max="16" width="19" bestFit="1" customWidth="1"/>
    <col min="17" max="17" width="20.54296875" customWidth="1"/>
    <col min="18" max="18" width="6.26953125" style="30" customWidth="1"/>
    <col min="19" max="19" width="8.81640625" customWidth="1"/>
  </cols>
  <sheetData>
    <row r="1" spans="1:18">
      <c r="B1" s="12" t="s">
        <v>345</v>
      </c>
      <c r="C1" s="12"/>
      <c r="F1" s="143"/>
      <c r="J1" s="17"/>
      <c r="O1" s="8"/>
      <c r="P1" s="15" t="str">
        <f>CONCATENATE("Prior Year: ",'1-BaseTRR'!$F$2)</f>
        <v>Prior Year: 2022</v>
      </c>
      <c r="Q1" s="8"/>
    </row>
    <row r="2" spans="1:18">
      <c r="B2" s="117" t="s">
        <v>196</v>
      </c>
      <c r="C2" s="49"/>
      <c r="J2" s="17"/>
      <c r="O2" s="15"/>
      <c r="P2" s="8"/>
      <c r="Q2" s="8"/>
    </row>
    <row r="3" spans="1:18">
      <c r="A3" s="119"/>
      <c r="B3" s="142"/>
      <c r="R3" s="119"/>
    </row>
    <row r="4" spans="1:18">
      <c r="B4" s="57" t="s">
        <v>346</v>
      </c>
      <c r="C4" s="57"/>
      <c r="D4" s="54"/>
      <c r="E4" s="54"/>
      <c r="F4" s="54"/>
      <c r="G4" s="54"/>
      <c r="H4" s="54"/>
      <c r="I4" s="54"/>
      <c r="J4" s="54"/>
      <c r="K4" s="54"/>
      <c r="L4" s="54"/>
      <c r="M4" s="54"/>
      <c r="N4" s="54"/>
      <c r="O4" s="54"/>
      <c r="P4" s="54"/>
      <c r="Q4" s="54"/>
    </row>
    <row r="5" spans="1:18">
      <c r="A5" s="8"/>
      <c r="B5" s="150" t="s">
        <v>1062</v>
      </c>
      <c r="C5" s="17"/>
      <c r="I5" s="17"/>
      <c r="J5" s="30"/>
      <c r="K5" s="151"/>
    </row>
    <row r="6" spans="1:18">
      <c r="A6" s="8"/>
      <c r="B6" s="17"/>
      <c r="C6" s="17"/>
      <c r="I6" s="17"/>
      <c r="J6" s="30"/>
      <c r="K6" s="151"/>
    </row>
    <row r="7" spans="1:18">
      <c r="A7" s="8"/>
      <c r="D7" s="122" t="s">
        <v>100</v>
      </c>
      <c r="E7" s="122" t="s">
        <v>101</v>
      </c>
      <c r="F7" s="122" t="s">
        <v>102</v>
      </c>
      <c r="G7" s="122" t="s">
        <v>103</v>
      </c>
      <c r="H7" s="122" t="s">
        <v>104</v>
      </c>
      <c r="I7" s="122" t="s">
        <v>105</v>
      </c>
      <c r="J7" s="122" t="s">
        <v>106</v>
      </c>
      <c r="K7" s="122" t="s">
        <v>107</v>
      </c>
      <c r="L7" s="122" t="s">
        <v>108</v>
      </c>
      <c r="M7" s="122" t="s">
        <v>271</v>
      </c>
      <c r="N7" s="122" t="s">
        <v>272</v>
      </c>
      <c r="O7" s="122" t="s">
        <v>273</v>
      </c>
      <c r="P7" s="122" t="s">
        <v>274</v>
      </c>
      <c r="Q7" s="122"/>
    </row>
    <row r="8" spans="1:18" ht="29">
      <c r="B8" s="8"/>
      <c r="C8" s="8"/>
      <c r="D8" s="152" t="s">
        <v>347</v>
      </c>
      <c r="E8" s="152" t="s">
        <v>347</v>
      </c>
      <c r="F8" s="152" t="s">
        <v>347</v>
      </c>
      <c r="G8" s="152" t="s">
        <v>347</v>
      </c>
      <c r="H8" s="152" t="s">
        <v>347</v>
      </c>
      <c r="I8" s="152" t="s">
        <v>347</v>
      </c>
      <c r="J8" s="152" t="s">
        <v>347</v>
      </c>
      <c r="K8" s="152" t="s">
        <v>347</v>
      </c>
      <c r="L8" s="152" t="s">
        <v>347</v>
      </c>
      <c r="M8" s="152" t="s">
        <v>347</v>
      </c>
      <c r="N8" s="152" t="s">
        <v>347</v>
      </c>
      <c r="O8" s="152" t="s">
        <v>347</v>
      </c>
      <c r="P8" s="153" t="s">
        <v>1168</v>
      </c>
      <c r="Q8" s="154"/>
    </row>
    <row r="9" spans="1:18">
      <c r="B9" s="8"/>
      <c r="C9" s="8"/>
      <c r="H9" s="155"/>
      <c r="N9" s="30"/>
      <c r="P9" s="30"/>
      <c r="Q9" s="30"/>
    </row>
    <row r="10" spans="1:18">
      <c r="C10" s="130" t="s">
        <v>348</v>
      </c>
      <c r="D10" s="123">
        <v>350.01</v>
      </c>
      <c r="E10" s="123">
        <v>350.02</v>
      </c>
      <c r="F10" s="123">
        <v>352.01</v>
      </c>
      <c r="G10" s="123">
        <v>352.02</v>
      </c>
      <c r="H10" s="123">
        <v>353.01</v>
      </c>
      <c r="I10" s="123">
        <v>353.02</v>
      </c>
      <c r="J10" s="123">
        <v>354</v>
      </c>
      <c r="K10" s="123">
        <v>355</v>
      </c>
      <c r="L10" s="123">
        <v>356</v>
      </c>
      <c r="M10" s="123">
        <v>357</v>
      </c>
      <c r="N10" s="123">
        <v>358</v>
      </c>
      <c r="O10" s="123">
        <v>359</v>
      </c>
    </row>
    <row r="11" spans="1:18">
      <c r="A11" s="119" t="s">
        <v>124</v>
      </c>
      <c r="B11" s="119" t="s">
        <v>82</v>
      </c>
      <c r="C11" s="119" t="s">
        <v>111</v>
      </c>
      <c r="D11" s="122" t="s">
        <v>349</v>
      </c>
      <c r="E11" s="122" t="s">
        <v>350</v>
      </c>
      <c r="F11" s="122" t="s">
        <v>351</v>
      </c>
      <c r="G11" s="122" t="s">
        <v>352</v>
      </c>
      <c r="H11" s="122" t="s">
        <v>353</v>
      </c>
      <c r="I11" s="122" t="s">
        <v>354</v>
      </c>
      <c r="J11" s="122" t="s">
        <v>355</v>
      </c>
      <c r="K11" s="122" t="s">
        <v>356</v>
      </c>
      <c r="L11" s="122" t="s">
        <v>357</v>
      </c>
      <c r="M11" s="122" t="s">
        <v>358</v>
      </c>
      <c r="N11" s="122" t="s">
        <v>359</v>
      </c>
      <c r="O11" s="122" t="s">
        <v>360</v>
      </c>
      <c r="P11" s="119" t="s">
        <v>361</v>
      </c>
      <c r="Q11" s="119" t="s">
        <v>54</v>
      </c>
      <c r="R11" s="119" t="str">
        <f>A11</f>
        <v>Line</v>
      </c>
    </row>
    <row r="12" spans="1:18">
      <c r="A12" s="131">
        <v>100</v>
      </c>
      <c r="B12" s="150" t="s">
        <v>113</v>
      </c>
      <c r="C12" s="156">
        <f>'1-BaseTRR'!$F$2-1</f>
        <v>2021</v>
      </c>
      <c r="D12" s="198">
        <f t="shared" ref="D12:O24" si="0">+D37+D62</f>
        <v>82791681</v>
      </c>
      <c r="E12" s="198">
        <f t="shared" si="0"/>
        <v>208997631</v>
      </c>
      <c r="F12" s="198">
        <f t="shared" si="0"/>
        <v>362688526</v>
      </c>
      <c r="G12" s="198">
        <f t="shared" si="0"/>
        <v>108679506</v>
      </c>
      <c r="H12" s="198">
        <f t="shared" si="0"/>
        <v>7529329070</v>
      </c>
      <c r="I12" s="198">
        <f t="shared" si="0"/>
        <v>35991450</v>
      </c>
      <c r="J12" s="198">
        <f t="shared" si="0"/>
        <v>1040283564</v>
      </c>
      <c r="K12" s="198">
        <f t="shared" si="0"/>
        <v>2159592516</v>
      </c>
      <c r="L12" s="198">
        <f t="shared" si="0"/>
        <v>2346203987</v>
      </c>
      <c r="M12" s="198">
        <f t="shared" si="0"/>
        <v>518614161</v>
      </c>
      <c r="N12" s="198">
        <f t="shared" si="0"/>
        <v>281575116</v>
      </c>
      <c r="O12" s="198">
        <f t="shared" si="0"/>
        <v>164958388</v>
      </c>
      <c r="P12" s="33">
        <f>SUM(D12:O12)</f>
        <v>14839705596</v>
      </c>
      <c r="Q12" s="158" t="str">
        <f>"Line "&amp;A37&amp;" + Line "&amp;A62&amp;""</f>
        <v>Line 200 + Line 300</v>
      </c>
      <c r="R12" s="131">
        <f>A12</f>
        <v>100</v>
      </c>
    </row>
    <row r="13" spans="1:18">
      <c r="A13" s="131">
        <f>A12+1</f>
        <v>101</v>
      </c>
      <c r="B13" s="150" t="s">
        <v>114</v>
      </c>
      <c r="C13" s="156">
        <f>'1-BaseTRR'!$F$2</f>
        <v>2022</v>
      </c>
      <c r="D13" s="198">
        <f t="shared" si="0"/>
        <v>83668290.879999995</v>
      </c>
      <c r="E13" s="198">
        <f t="shared" si="0"/>
        <v>210242376.84000003</v>
      </c>
      <c r="F13" s="198">
        <f t="shared" si="0"/>
        <v>363978809.27999997</v>
      </c>
      <c r="G13" s="198">
        <f t="shared" si="0"/>
        <v>108971776.86</v>
      </c>
      <c r="H13" s="198">
        <f t="shared" si="0"/>
        <v>7536364529.9299994</v>
      </c>
      <c r="I13" s="198">
        <f t="shared" si="0"/>
        <v>35991450.320000008</v>
      </c>
      <c r="J13" s="198">
        <f t="shared" si="0"/>
        <v>1042130553.72</v>
      </c>
      <c r="K13" s="198">
        <f t="shared" si="0"/>
        <v>2211040492.73</v>
      </c>
      <c r="L13" s="198">
        <f t="shared" si="0"/>
        <v>2386266085.5900002</v>
      </c>
      <c r="M13" s="198">
        <f t="shared" si="0"/>
        <v>520059211.48999995</v>
      </c>
      <c r="N13" s="198">
        <f t="shared" si="0"/>
        <v>282790466.08999997</v>
      </c>
      <c r="O13" s="198">
        <f t="shared" si="0"/>
        <v>165949027.57999998</v>
      </c>
      <c r="P13" s="33">
        <f t="shared" ref="P13:P24" si="1">SUM(D13:O13)</f>
        <v>14947453071.309998</v>
      </c>
      <c r="Q13" s="158" t="str">
        <f t="shared" ref="Q13:Q24" si="2">"Line "&amp;A38&amp;" + Line "&amp;A63&amp;""</f>
        <v>Line 201 + Line 301</v>
      </c>
      <c r="R13" s="131">
        <f t="shared" ref="R13:R25" si="3">A13</f>
        <v>101</v>
      </c>
    </row>
    <row r="14" spans="1:18">
      <c r="A14" s="131">
        <f t="shared" ref="A14:A25" si="4">A13+1</f>
        <v>102</v>
      </c>
      <c r="B14" s="150" t="s">
        <v>115</v>
      </c>
      <c r="C14" s="156">
        <f>'1-BaseTRR'!$F$2</f>
        <v>2022</v>
      </c>
      <c r="D14" s="198">
        <f t="shared" si="0"/>
        <v>83773913.640000001</v>
      </c>
      <c r="E14" s="198">
        <f t="shared" si="0"/>
        <v>210432771.73000002</v>
      </c>
      <c r="F14" s="198">
        <f t="shared" si="0"/>
        <v>363081146.67000002</v>
      </c>
      <c r="G14" s="198">
        <f t="shared" si="0"/>
        <v>108983561.52000001</v>
      </c>
      <c r="H14" s="198">
        <f t="shared" si="0"/>
        <v>7550640865.8299999</v>
      </c>
      <c r="I14" s="198">
        <f t="shared" si="0"/>
        <v>35992353.820000008</v>
      </c>
      <c r="J14" s="198">
        <f t="shared" si="0"/>
        <v>1032595810.75</v>
      </c>
      <c r="K14" s="198">
        <f t="shared" si="0"/>
        <v>2228107287.1500001</v>
      </c>
      <c r="L14" s="198">
        <f t="shared" si="0"/>
        <v>2420922917.0500002</v>
      </c>
      <c r="M14" s="198">
        <f t="shared" si="0"/>
        <v>520108065.39999998</v>
      </c>
      <c r="N14" s="198">
        <f t="shared" si="0"/>
        <v>282791263.80000001</v>
      </c>
      <c r="O14" s="198">
        <f t="shared" si="0"/>
        <v>166197061.33999997</v>
      </c>
      <c r="P14" s="33">
        <f t="shared" si="1"/>
        <v>15003627018.699999</v>
      </c>
      <c r="Q14" s="158" t="str">
        <f t="shared" si="2"/>
        <v>Line 202 + Line 302</v>
      </c>
      <c r="R14" s="131">
        <f t="shared" si="3"/>
        <v>102</v>
      </c>
    </row>
    <row r="15" spans="1:18">
      <c r="A15" s="131">
        <f t="shared" si="4"/>
        <v>103</v>
      </c>
      <c r="B15" s="150" t="s">
        <v>116</v>
      </c>
      <c r="C15" s="156">
        <f>'1-BaseTRR'!$F$2</f>
        <v>2022</v>
      </c>
      <c r="D15" s="198">
        <f t="shared" si="0"/>
        <v>85296017.439999998</v>
      </c>
      <c r="E15" s="198">
        <f t="shared" si="0"/>
        <v>210701042.81</v>
      </c>
      <c r="F15" s="198">
        <f t="shared" si="0"/>
        <v>363504242.85000002</v>
      </c>
      <c r="G15" s="198">
        <f t="shared" si="0"/>
        <v>109132221.63</v>
      </c>
      <c r="H15" s="198">
        <f t="shared" si="0"/>
        <v>7559868208.7600002</v>
      </c>
      <c r="I15" s="198">
        <f t="shared" si="0"/>
        <v>35992352.239999995</v>
      </c>
      <c r="J15" s="198">
        <f t="shared" si="0"/>
        <v>1037098813.27</v>
      </c>
      <c r="K15" s="198">
        <f t="shared" si="0"/>
        <v>2234979699.1999998</v>
      </c>
      <c r="L15" s="198">
        <f t="shared" si="0"/>
        <v>2411265605.1599998</v>
      </c>
      <c r="M15" s="198">
        <f t="shared" si="0"/>
        <v>520166480.04999995</v>
      </c>
      <c r="N15" s="198">
        <f t="shared" si="0"/>
        <v>282997499.23000002</v>
      </c>
      <c r="O15" s="198">
        <f t="shared" si="0"/>
        <v>168300356.50999999</v>
      </c>
      <c r="P15" s="33">
        <f t="shared" si="1"/>
        <v>15019302539.15</v>
      </c>
      <c r="Q15" s="158" t="str">
        <f t="shared" si="2"/>
        <v>Line 203 + Line 303</v>
      </c>
      <c r="R15" s="131">
        <f t="shared" si="3"/>
        <v>103</v>
      </c>
    </row>
    <row r="16" spans="1:18">
      <c r="A16" s="131">
        <f t="shared" si="4"/>
        <v>104</v>
      </c>
      <c r="B16" s="150" t="s">
        <v>117</v>
      </c>
      <c r="C16" s="156">
        <f>'1-BaseTRR'!$F$2</f>
        <v>2022</v>
      </c>
      <c r="D16" s="198">
        <f t="shared" si="0"/>
        <v>92371233.189999998</v>
      </c>
      <c r="E16" s="198">
        <f t="shared" si="0"/>
        <v>210937418.45999998</v>
      </c>
      <c r="F16" s="198">
        <f t="shared" si="0"/>
        <v>363830202.03999996</v>
      </c>
      <c r="G16" s="198">
        <f t="shared" si="0"/>
        <v>110047067.56</v>
      </c>
      <c r="H16" s="198">
        <f t="shared" si="0"/>
        <v>7591821911.7399998</v>
      </c>
      <c r="I16" s="198">
        <f t="shared" si="0"/>
        <v>35973643.620000005</v>
      </c>
      <c r="J16" s="198">
        <f t="shared" si="0"/>
        <v>1034650792.88</v>
      </c>
      <c r="K16" s="198">
        <f t="shared" si="0"/>
        <v>2257391804.23</v>
      </c>
      <c r="L16" s="198">
        <f t="shared" si="0"/>
        <v>2450448699.3299999</v>
      </c>
      <c r="M16" s="198">
        <f t="shared" si="0"/>
        <v>522769863.84999996</v>
      </c>
      <c r="N16" s="198">
        <f t="shared" si="0"/>
        <v>282435654.76999998</v>
      </c>
      <c r="O16" s="198">
        <f t="shared" si="0"/>
        <v>169280206.31999999</v>
      </c>
      <c r="P16" s="33">
        <f t="shared" si="1"/>
        <v>15121958497.99</v>
      </c>
      <c r="Q16" s="158" t="str">
        <f t="shared" si="2"/>
        <v>Line 204 + Line 304</v>
      </c>
      <c r="R16" s="131">
        <f t="shared" si="3"/>
        <v>104</v>
      </c>
    </row>
    <row r="17" spans="1:19">
      <c r="A17" s="131">
        <f t="shared" si="4"/>
        <v>105</v>
      </c>
      <c r="B17" s="150" t="s">
        <v>90</v>
      </c>
      <c r="C17" s="156">
        <f>'1-BaseTRR'!$F$2</f>
        <v>2022</v>
      </c>
      <c r="D17" s="198">
        <f t="shared" si="0"/>
        <v>94673185.409999996</v>
      </c>
      <c r="E17" s="198">
        <f t="shared" si="0"/>
        <v>211078728.74000001</v>
      </c>
      <c r="F17" s="198">
        <f t="shared" si="0"/>
        <v>364048065.31</v>
      </c>
      <c r="G17" s="198">
        <f t="shared" si="0"/>
        <v>110794960.08000001</v>
      </c>
      <c r="H17" s="198">
        <f t="shared" si="0"/>
        <v>7617166066.250001</v>
      </c>
      <c r="I17" s="198">
        <f t="shared" si="0"/>
        <v>35973646.280000001</v>
      </c>
      <c r="J17" s="198">
        <f t="shared" si="0"/>
        <v>1022318468.98</v>
      </c>
      <c r="K17" s="198">
        <f t="shared" si="0"/>
        <v>2269311326.0599999</v>
      </c>
      <c r="L17" s="198">
        <f t="shared" si="0"/>
        <v>2506482777.4300003</v>
      </c>
      <c r="M17" s="198">
        <f t="shared" si="0"/>
        <v>522597272.31999993</v>
      </c>
      <c r="N17" s="198">
        <f t="shared" si="0"/>
        <v>282517176.63999999</v>
      </c>
      <c r="O17" s="198">
        <f t="shared" si="0"/>
        <v>169901273.38999999</v>
      </c>
      <c r="P17" s="33">
        <f t="shared" si="1"/>
        <v>15206862946.889999</v>
      </c>
      <c r="Q17" s="158" t="str">
        <f t="shared" si="2"/>
        <v>Line 205 + Line 305</v>
      </c>
      <c r="R17" s="131">
        <f t="shared" si="3"/>
        <v>105</v>
      </c>
    </row>
    <row r="18" spans="1:19">
      <c r="A18" s="131">
        <f t="shared" si="4"/>
        <v>106</v>
      </c>
      <c r="B18" s="150" t="s">
        <v>277</v>
      </c>
      <c r="C18" s="156">
        <f>'1-BaseTRR'!$F$2</f>
        <v>2022</v>
      </c>
      <c r="D18" s="198">
        <f t="shared" si="0"/>
        <v>94809399.989999995</v>
      </c>
      <c r="E18" s="198">
        <f t="shared" si="0"/>
        <v>211132515.65000001</v>
      </c>
      <c r="F18" s="198">
        <f t="shared" si="0"/>
        <v>363580781.86000001</v>
      </c>
      <c r="G18" s="198">
        <f t="shared" si="0"/>
        <v>112787174.66000001</v>
      </c>
      <c r="H18" s="198">
        <f t="shared" si="0"/>
        <v>7605118827.2200012</v>
      </c>
      <c r="I18" s="198">
        <f t="shared" si="0"/>
        <v>35973656.159999996</v>
      </c>
      <c r="J18" s="198">
        <f t="shared" si="0"/>
        <v>1023321522.55</v>
      </c>
      <c r="K18" s="198">
        <f t="shared" si="0"/>
        <v>2287220558.2199998</v>
      </c>
      <c r="L18" s="198">
        <f t="shared" si="0"/>
        <v>2530758591.9899998</v>
      </c>
      <c r="M18" s="198">
        <f t="shared" si="0"/>
        <v>524968165.93999994</v>
      </c>
      <c r="N18" s="198">
        <f t="shared" si="0"/>
        <v>282715294.25999999</v>
      </c>
      <c r="O18" s="198">
        <f t="shared" si="0"/>
        <v>171062777.22</v>
      </c>
      <c r="P18" s="33">
        <f t="shared" si="1"/>
        <v>15243449265.719999</v>
      </c>
      <c r="Q18" s="158" t="str">
        <f t="shared" si="2"/>
        <v>Line 206 + Line 306</v>
      </c>
      <c r="R18" s="131">
        <f t="shared" si="3"/>
        <v>106</v>
      </c>
    </row>
    <row r="19" spans="1:19">
      <c r="A19" s="131">
        <f t="shared" si="4"/>
        <v>107</v>
      </c>
      <c r="B19" s="150" t="s">
        <v>119</v>
      </c>
      <c r="C19" s="156">
        <f>'1-BaseTRR'!$F$2</f>
        <v>2022</v>
      </c>
      <c r="D19" s="198">
        <f t="shared" si="0"/>
        <v>94940467.480000004</v>
      </c>
      <c r="E19" s="198">
        <f t="shared" si="0"/>
        <v>211231613.22999999</v>
      </c>
      <c r="F19" s="198">
        <f t="shared" si="0"/>
        <v>363726447.28999996</v>
      </c>
      <c r="G19" s="198">
        <f t="shared" si="0"/>
        <v>114024499.11000001</v>
      </c>
      <c r="H19" s="198">
        <f t="shared" si="0"/>
        <v>7611923009.5599995</v>
      </c>
      <c r="I19" s="198">
        <f t="shared" si="0"/>
        <v>35989538.849999994</v>
      </c>
      <c r="J19" s="198">
        <f t="shared" si="0"/>
        <v>1025470774.99</v>
      </c>
      <c r="K19" s="198">
        <f t="shared" si="0"/>
        <v>2302162630.5100002</v>
      </c>
      <c r="L19" s="198">
        <f t="shared" si="0"/>
        <v>2564087393.1899996</v>
      </c>
      <c r="M19" s="198">
        <f t="shared" si="0"/>
        <v>524953454.66999996</v>
      </c>
      <c r="N19" s="198">
        <f t="shared" si="0"/>
        <v>283098366.38999999</v>
      </c>
      <c r="O19" s="198">
        <f t="shared" si="0"/>
        <v>171479636.69999999</v>
      </c>
      <c r="P19" s="33">
        <f t="shared" si="1"/>
        <v>15303087831.969999</v>
      </c>
      <c r="Q19" s="158" t="str">
        <f t="shared" si="2"/>
        <v>Line 207 + Line 307</v>
      </c>
      <c r="R19" s="131">
        <f t="shared" si="3"/>
        <v>107</v>
      </c>
    </row>
    <row r="20" spans="1:19">
      <c r="A20" s="131">
        <f t="shared" si="4"/>
        <v>108</v>
      </c>
      <c r="B20" s="150" t="s">
        <v>120</v>
      </c>
      <c r="C20" s="156">
        <f>'1-BaseTRR'!$F$2</f>
        <v>2022</v>
      </c>
      <c r="D20" s="198">
        <f t="shared" si="0"/>
        <v>95064535.129999995</v>
      </c>
      <c r="E20" s="198">
        <f t="shared" si="0"/>
        <v>211324176.33999997</v>
      </c>
      <c r="F20" s="198">
        <f t="shared" si="0"/>
        <v>363652627.88</v>
      </c>
      <c r="G20" s="198">
        <f t="shared" si="0"/>
        <v>114954306.44000001</v>
      </c>
      <c r="H20" s="198">
        <f t="shared" si="0"/>
        <v>7656548690.75</v>
      </c>
      <c r="I20" s="198">
        <f t="shared" si="0"/>
        <v>35989549.010000005</v>
      </c>
      <c r="J20" s="198">
        <f t="shared" si="0"/>
        <v>1026343054.85</v>
      </c>
      <c r="K20" s="198">
        <f t="shared" si="0"/>
        <v>2316615680.48</v>
      </c>
      <c r="L20" s="198">
        <f t="shared" si="0"/>
        <v>2603819602.6199999</v>
      </c>
      <c r="M20" s="198">
        <f t="shared" si="0"/>
        <v>525030176.54999995</v>
      </c>
      <c r="N20" s="198">
        <f t="shared" si="0"/>
        <v>283623102.63</v>
      </c>
      <c r="O20" s="198">
        <f t="shared" si="0"/>
        <v>172696618.66</v>
      </c>
      <c r="P20" s="33">
        <f t="shared" si="1"/>
        <v>15405662121.339998</v>
      </c>
      <c r="Q20" s="158" t="str">
        <f t="shared" si="2"/>
        <v>Line 208 + Line 308</v>
      </c>
      <c r="R20" s="131">
        <f t="shared" si="3"/>
        <v>108</v>
      </c>
    </row>
    <row r="21" spans="1:19">
      <c r="A21" s="131">
        <f t="shared" si="4"/>
        <v>109</v>
      </c>
      <c r="B21" s="150" t="s">
        <v>121</v>
      </c>
      <c r="C21" s="156">
        <f>'1-BaseTRR'!$F$2</f>
        <v>2022</v>
      </c>
      <c r="D21" s="198">
        <f t="shared" si="0"/>
        <v>94780250.469999999</v>
      </c>
      <c r="E21" s="198">
        <f t="shared" si="0"/>
        <v>211480219.58000001</v>
      </c>
      <c r="F21" s="198">
        <f t="shared" si="0"/>
        <v>363885231.74000001</v>
      </c>
      <c r="G21" s="198">
        <f t="shared" si="0"/>
        <v>121230489.86</v>
      </c>
      <c r="H21" s="198">
        <f t="shared" si="0"/>
        <v>7677420001.2200003</v>
      </c>
      <c r="I21" s="198">
        <f t="shared" si="0"/>
        <v>35989552.450000003</v>
      </c>
      <c r="J21" s="198">
        <f t="shared" si="0"/>
        <v>1020412250.77</v>
      </c>
      <c r="K21" s="198">
        <f t="shared" si="0"/>
        <v>2333265590.4500003</v>
      </c>
      <c r="L21" s="198">
        <f t="shared" si="0"/>
        <v>2629508490.4200001</v>
      </c>
      <c r="M21" s="198">
        <f t="shared" si="0"/>
        <v>525052226.84999996</v>
      </c>
      <c r="N21" s="198">
        <f t="shared" si="0"/>
        <v>282045653.62</v>
      </c>
      <c r="O21" s="198">
        <f t="shared" si="0"/>
        <v>175259554.53999999</v>
      </c>
      <c r="P21" s="33">
        <f t="shared" si="1"/>
        <v>15470329511.970003</v>
      </c>
      <c r="Q21" s="158" t="str">
        <f t="shared" si="2"/>
        <v>Line 209 + Line 309</v>
      </c>
      <c r="R21" s="131">
        <f t="shared" si="3"/>
        <v>109</v>
      </c>
    </row>
    <row r="22" spans="1:19">
      <c r="A22" s="131">
        <f t="shared" si="4"/>
        <v>110</v>
      </c>
      <c r="B22" s="150" t="s">
        <v>122</v>
      </c>
      <c r="C22" s="156">
        <f>'1-BaseTRR'!$F$2</f>
        <v>2022</v>
      </c>
      <c r="D22" s="198">
        <f t="shared" si="0"/>
        <v>94858310.390000001</v>
      </c>
      <c r="E22" s="198">
        <f t="shared" si="0"/>
        <v>211563307.46000001</v>
      </c>
      <c r="F22" s="198">
        <f t="shared" si="0"/>
        <v>363922752.50999999</v>
      </c>
      <c r="G22" s="198">
        <f>+G47+G72</f>
        <v>119864984.45</v>
      </c>
      <c r="H22" s="198">
        <f t="shared" si="0"/>
        <v>7675974348.3999996</v>
      </c>
      <c r="I22" s="198">
        <f t="shared" si="0"/>
        <v>35989555.329999998</v>
      </c>
      <c r="J22" s="198">
        <f t="shared" si="0"/>
        <v>1032276234.25</v>
      </c>
      <c r="K22" s="198">
        <f t="shared" si="0"/>
        <v>2358792565.21</v>
      </c>
      <c r="L22" s="198">
        <f t="shared" si="0"/>
        <v>2642141558.3200002</v>
      </c>
      <c r="M22" s="198">
        <f t="shared" si="0"/>
        <v>525077514.57999998</v>
      </c>
      <c r="N22" s="198">
        <f t="shared" si="0"/>
        <v>282075843.24000001</v>
      </c>
      <c r="O22" s="198">
        <f t="shared" si="0"/>
        <v>179507572.26999998</v>
      </c>
      <c r="P22" s="33">
        <f t="shared" si="1"/>
        <v>15522044546.41</v>
      </c>
      <c r="Q22" s="158" t="str">
        <f t="shared" si="2"/>
        <v>Line 210 + Line 310</v>
      </c>
      <c r="R22" s="131">
        <f t="shared" si="3"/>
        <v>110</v>
      </c>
    </row>
    <row r="23" spans="1:19">
      <c r="A23" s="131">
        <f t="shared" si="4"/>
        <v>111</v>
      </c>
      <c r="B23" s="150" t="s">
        <v>123</v>
      </c>
      <c r="C23" s="156">
        <f>'1-BaseTRR'!$F$2</f>
        <v>2022</v>
      </c>
      <c r="D23" s="198">
        <f t="shared" si="0"/>
        <v>94929933.239999995</v>
      </c>
      <c r="E23" s="198">
        <f t="shared" si="0"/>
        <v>211585818.49000001</v>
      </c>
      <c r="F23" s="198">
        <f t="shared" si="0"/>
        <v>364060320.79000002</v>
      </c>
      <c r="G23" s="198">
        <f t="shared" si="0"/>
        <v>121499387.96000001</v>
      </c>
      <c r="H23" s="198">
        <f t="shared" si="0"/>
        <v>7672256593.1199999</v>
      </c>
      <c r="I23" s="198">
        <f t="shared" si="0"/>
        <v>35989559.25</v>
      </c>
      <c r="J23" s="198">
        <f t="shared" si="0"/>
        <v>1049103390.5599999</v>
      </c>
      <c r="K23" s="198">
        <f t="shared" si="0"/>
        <v>2376039948.6599998</v>
      </c>
      <c r="L23" s="198">
        <f t="shared" si="0"/>
        <v>2681525513.3200002</v>
      </c>
      <c r="M23" s="198">
        <f t="shared" si="0"/>
        <v>525074846.71000004</v>
      </c>
      <c r="N23" s="198">
        <f t="shared" si="0"/>
        <v>282021366.25999999</v>
      </c>
      <c r="O23" s="198">
        <f t="shared" si="0"/>
        <v>179834493.15000001</v>
      </c>
      <c r="P23" s="33">
        <f t="shared" si="1"/>
        <v>15593921171.509998</v>
      </c>
      <c r="Q23" s="158" t="str">
        <f t="shared" si="2"/>
        <v>Line 211 + Line 311</v>
      </c>
      <c r="R23" s="131">
        <f t="shared" si="3"/>
        <v>111</v>
      </c>
      <c r="S23" s="158"/>
    </row>
    <row r="24" spans="1:19">
      <c r="A24" s="131">
        <f t="shared" si="4"/>
        <v>112</v>
      </c>
      <c r="B24" s="159" t="s">
        <v>113</v>
      </c>
      <c r="C24" s="160">
        <f>'1-BaseTRR'!$F$2</f>
        <v>2022</v>
      </c>
      <c r="D24" s="467">
        <f t="shared" si="0"/>
        <v>94304454.074713677</v>
      </c>
      <c r="E24" s="467">
        <f t="shared" si="0"/>
        <v>211069954.12782389</v>
      </c>
      <c r="F24" s="467">
        <f t="shared" si="0"/>
        <v>363199302.32501286</v>
      </c>
      <c r="G24" s="467">
        <f t="shared" si="0"/>
        <v>125371515.78386503</v>
      </c>
      <c r="H24" s="467">
        <f t="shared" si="0"/>
        <v>7706774272.0488892</v>
      </c>
      <c r="I24" s="467">
        <f t="shared" si="0"/>
        <v>35989561.586312369</v>
      </c>
      <c r="J24" s="467">
        <f t="shared" si="0"/>
        <v>1062242405.8880787</v>
      </c>
      <c r="K24" s="467">
        <f t="shared" si="0"/>
        <v>2381845833.3490334</v>
      </c>
      <c r="L24" s="467">
        <f t="shared" si="0"/>
        <v>2686127973.6737804</v>
      </c>
      <c r="M24" s="467">
        <f t="shared" si="0"/>
        <v>523695481.2628119</v>
      </c>
      <c r="N24" s="467">
        <f t="shared" si="0"/>
        <v>281894975.36176646</v>
      </c>
      <c r="O24" s="467">
        <f t="shared" si="0"/>
        <v>186139561.6063633</v>
      </c>
      <c r="P24" s="467">
        <f t="shared" si="1"/>
        <v>15658655291.088451</v>
      </c>
      <c r="Q24" s="158" t="str">
        <f t="shared" si="2"/>
        <v>Line 212 + Line 312</v>
      </c>
      <c r="R24" s="131">
        <f t="shared" si="3"/>
        <v>112</v>
      </c>
      <c r="S24" s="158"/>
    </row>
    <row r="25" spans="1:19">
      <c r="A25" s="131">
        <f t="shared" si="4"/>
        <v>113</v>
      </c>
      <c r="B25" s="544" t="s">
        <v>362</v>
      </c>
      <c r="C25" s="169"/>
      <c r="D25" s="199">
        <f>SUM(D12:D24)/13</f>
        <v>91250897.87190105</v>
      </c>
      <c r="E25" s="199">
        <f>SUM(E12:E24)/13</f>
        <v>210905967.26598644</v>
      </c>
      <c r="F25" s="199">
        <f>SUM(F12:F24)/13</f>
        <v>363627573.58038563</v>
      </c>
      <c r="G25" s="199">
        <f>SUM(G12:G24)/13</f>
        <v>114333957.83952808</v>
      </c>
      <c r="H25" s="199">
        <f t="shared" ref="H25:P25" si="5">SUM(H12:H24)/13</f>
        <v>7614708184.2176056</v>
      </c>
      <c r="I25" s="199">
        <f t="shared" si="5"/>
        <v>35986605.301254794</v>
      </c>
      <c r="J25" s="199">
        <f t="shared" si="5"/>
        <v>1034480587.4967753</v>
      </c>
      <c r="K25" s="199">
        <f t="shared" si="5"/>
        <v>2285874302.4806948</v>
      </c>
      <c r="L25" s="199">
        <f t="shared" si="5"/>
        <v>2527658399.6225986</v>
      </c>
      <c r="M25" s="199">
        <f t="shared" si="5"/>
        <v>522935916.97483164</v>
      </c>
      <c r="N25" s="199">
        <f t="shared" si="5"/>
        <v>282506290.63782823</v>
      </c>
      <c r="O25" s="199">
        <f t="shared" si="5"/>
        <v>172351271.32972029</v>
      </c>
      <c r="P25" s="199">
        <f t="shared" si="5"/>
        <v>15256619954.619112</v>
      </c>
      <c r="Q25" s="158"/>
      <c r="R25" s="131">
        <f t="shared" si="3"/>
        <v>113</v>
      </c>
      <c r="S25" s="158"/>
    </row>
    <row r="26" spans="1:19">
      <c r="A26" s="27"/>
      <c r="B26" s="17"/>
      <c r="C26" s="17"/>
      <c r="D26" s="17"/>
      <c r="E26" s="17"/>
      <c r="F26" s="17"/>
      <c r="G26" s="17"/>
      <c r="H26" s="17"/>
      <c r="I26" s="17"/>
      <c r="J26" s="17"/>
      <c r="K26" s="17"/>
      <c r="L26" s="17"/>
      <c r="M26" s="17"/>
      <c r="R26" s="131"/>
    </row>
    <row r="27" spans="1:19">
      <c r="A27" s="27"/>
      <c r="B27" s="17"/>
      <c r="C27" s="17"/>
      <c r="D27" s="17"/>
      <c r="E27" s="17"/>
      <c r="F27" s="17"/>
      <c r="G27" s="17"/>
      <c r="H27" s="17"/>
      <c r="I27" s="17"/>
      <c r="J27" s="17"/>
      <c r="K27" s="17"/>
      <c r="L27" s="17"/>
      <c r="M27" s="17"/>
      <c r="R27" s="131"/>
    </row>
    <row r="28" spans="1:19">
      <c r="B28" s="57" t="s">
        <v>363</v>
      </c>
      <c r="C28" s="57"/>
      <c r="D28" s="144"/>
      <c r="E28" s="54"/>
      <c r="F28" s="54"/>
      <c r="G28" s="144"/>
      <c r="H28" s="144"/>
      <c r="I28" s="144"/>
      <c r="J28" s="144"/>
      <c r="K28" s="144"/>
      <c r="L28" s="144"/>
      <c r="M28" s="144"/>
      <c r="N28" s="54"/>
      <c r="O28" s="54"/>
      <c r="P28" s="54"/>
      <c r="Q28" s="54"/>
    </row>
    <row r="29" spans="1:19">
      <c r="B29" s="150" t="s">
        <v>1885</v>
      </c>
      <c r="C29" s="12"/>
      <c r="D29" s="17"/>
      <c r="G29" s="17"/>
      <c r="H29" s="17"/>
      <c r="I29" s="17"/>
      <c r="J29" s="17"/>
      <c r="K29" s="17"/>
      <c r="L29" s="17"/>
      <c r="M29" s="17"/>
    </row>
    <row r="30" spans="1:19">
      <c r="B30" t="s">
        <v>1299</v>
      </c>
      <c r="C30" s="12"/>
      <c r="D30" s="17"/>
      <c r="G30" s="17"/>
      <c r="H30" s="17"/>
      <c r="I30" s="17"/>
      <c r="J30" s="17"/>
      <c r="K30" s="17"/>
      <c r="L30" s="17"/>
      <c r="M30" s="17"/>
    </row>
    <row r="31" spans="1:19">
      <c r="C31" s="12"/>
      <c r="D31" s="17"/>
      <c r="G31" s="17"/>
      <c r="H31" s="17"/>
      <c r="I31" s="17"/>
      <c r="J31" s="17"/>
      <c r="K31" s="17"/>
      <c r="L31" s="17"/>
      <c r="M31" s="17"/>
    </row>
    <row r="32" spans="1:19">
      <c r="A32" s="8"/>
      <c r="D32" s="122" t="s">
        <v>100</v>
      </c>
      <c r="E32" s="122" t="s">
        <v>101</v>
      </c>
      <c r="F32" s="122" t="s">
        <v>102</v>
      </c>
      <c r="G32" s="122" t="s">
        <v>103</v>
      </c>
      <c r="H32" s="122" t="s">
        <v>104</v>
      </c>
      <c r="I32" s="122" t="s">
        <v>105</v>
      </c>
      <c r="J32" s="122" t="s">
        <v>106</v>
      </c>
      <c r="K32" s="122" t="s">
        <v>107</v>
      </c>
      <c r="L32" s="122" t="s">
        <v>108</v>
      </c>
      <c r="M32" s="122" t="s">
        <v>271</v>
      </c>
      <c r="N32" s="122" t="s">
        <v>272</v>
      </c>
      <c r="O32" s="122" t="s">
        <v>273</v>
      </c>
      <c r="P32" s="122" t="s">
        <v>274</v>
      </c>
      <c r="Q32" s="122"/>
    </row>
    <row r="33" spans="1:18">
      <c r="B33" s="8"/>
      <c r="C33" s="8"/>
      <c r="D33" s="162"/>
      <c r="E33" s="162"/>
      <c r="F33" s="162"/>
      <c r="G33" s="162"/>
      <c r="H33" s="162"/>
      <c r="I33" s="162"/>
      <c r="J33" s="162"/>
      <c r="K33" s="162"/>
      <c r="L33" s="162"/>
      <c r="M33" s="162"/>
      <c r="N33" s="162"/>
      <c r="O33" s="162"/>
      <c r="P33" s="153" t="s">
        <v>1168</v>
      </c>
      <c r="Q33" s="30"/>
    </row>
    <row r="34" spans="1:18">
      <c r="B34" s="8"/>
      <c r="C34" s="8"/>
      <c r="P34" s="30"/>
      <c r="Q34" s="30"/>
    </row>
    <row r="35" spans="1:18">
      <c r="A35" s="131"/>
      <c r="B35" s="131"/>
      <c r="C35" s="130" t="s">
        <v>348</v>
      </c>
      <c r="D35" s="123">
        <v>350.01</v>
      </c>
      <c r="E35" s="123">
        <v>350.02</v>
      </c>
      <c r="F35" s="123">
        <v>352.01</v>
      </c>
      <c r="G35" s="123">
        <v>352.02</v>
      </c>
      <c r="H35" s="123">
        <v>353.01</v>
      </c>
      <c r="I35" s="123">
        <v>353.02</v>
      </c>
      <c r="J35" s="123">
        <v>354</v>
      </c>
      <c r="K35" s="123">
        <v>355</v>
      </c>
      <c r="L35" s="123">
        <v>356</v>
      </c>
      <c r="M35" s="123">
        <v>357</v>
      </c>
      <c r="N35" s="123">
        <v>358</v>
      </c>
      <c r="O35" s="123">
        <v>359</v>
      </c>
    </row>
    <row r="36" spans="1:18">
      <c r="A36" s="119" t="s">
        <v>124</v>
      </c>
      <c r="B36" s="119" t="s">
        <v>82</v>
      </c>
      <c r="C36" s="119" t="s">
        <v>111</v>
      </c>
      <c r="D36" s="122" t="s">
        <v>349</v>
      </c>
      <c r="E36" s="122" t="s">
        <v>350</v>
      </c>
      <c r="F36" s="122" t="s">
        <v>351</v>
      </c>
      <c r="G36" s="122" t="s">
        <v>352</v>
      </c>
      <c r="H36" s="122" t="s">
        <v>353</v>
      </c>
      <c r="I36" s="122" t="s">
        <v>354</v>
      </c>
      <c r="J36" s="122" t="s">
        <v>355</v>
      </c>
      <c r="K36" s="122" t="s">
        <v>356</v>
      </c>
      <c r="L36" s="122" t="s">
        <v>357</v>
      </c>
      <c r="M36" s="122" t="s">
        <v>358</v>
      </c>
      <c r="N36" s="122" t="s">
        <v>359</v>
      </c>
      <c r="O36" s="122" t="s">
        <v>360</v>
      </c>
      <c r="P36" s="119" t="s">
        <v>361</v>
      </c>
      <c r="Q36" s="119"/>
      <c r="R36" s="119" t="str">
        <f>A36</f>
        <v>Line</v>
      </c>
    </row>
    <row r="37" spans="1:18">
      <c r="A37" s="131">
        <v>200</v>
      </c>
      <c r="B37" s="150" t="s">
        <v>113</v>
      </c>
      <c r="C37" s="156">
        <f>'1-BaseTRR'!$F$2-1</f>
        <v>2021</v>
      </c>
      <c r="D37" s="468">
        <v>53064227</v>
      </c>
      <c r="E37" s="468">
        <v>100274774</v>
      </c>
      <c r="F37" s="468">
        <v>151151509</v>
      </c>
      <c r="G37" s="468">
        <v>34486743</v>
      </c>
      <c r="H37" s="468">
        <v>2811121350</v>
      </c>
      <c r="I37" s="468">
        <v>4821603</v>
      </c>
      <c r="J37" s="468">
        <v>536643388</v>
      </c>
      <c r="K37" s="468">
        <v>142382009</v>
      </c>
      <c r="L37" s="468">
        <v>863683216</v>
      </c>
      <c r="M37" s="468">
        <v>351675577</v>
      </c>
      <c r="N37" s="468">
        <v>116938830</v>
      </c>
      <c r="O37" s="468">
        <v>70037974</v>
      </c>
      <c r="P37" s="33">
        <f>SUM(D37:O37)</f>
        <v>5236281200</v>
      </c>
      <c r="Q37" s="158"/>
      <c r="R37" s="131">
        <f t="shared" ref="R37:R50" si="6">A37</f>
        <v>200</v>
      </c>
    </row>
    <row r="38" spans="1:18">
      <c r="A38" s="131">
        <f>A37+1</f>
        <v>201</v>
      </c>
      <c r="B38" s="150" t="s">
        <v>114</v>
      </c>
      <c r="C38" s="156">
        <f>'1-BaseTRR'!$F$2</f>
        <v>2022</v>
      </c>
      <c r="D38" s="468">
        <v>53937070.979933992</v>
      </c>
      <c r="E38" s="468">
        <v>100684869.08062918</v>
      </c>
      <c r="F38" s="468">
        <v>143994573.80756152</v>
      </c>
      <c r="G38" s="468">
        <v>31010709.293156695</v>
      </c>
      <c r="H38" s="468">
        <v>2770781517.3147745</v>
      </c>
      <c r="I38" s="468">
        <v>4736074.8411313258</v>
      </c>
      <c r="J38" s="468">
        <v>537135934.22535443</v>
      </c>
      <c r="K38" s="468">
        <v>162768049.53491309</v>
      </c>
      <c r="L38" s="468">
        <v>876983188.66154671</v>
      </c>
      <c r="M38" s="468">
        <v>352480527.24107897</v>
      </c>
      <c r="N38" s="468">
        <v>117556165.85305624</v>
      </c>
      <c r="O38" s="468">
        <v>70413759.660125896</v>
      </c>
      <c r="P38" s="33">
        <f t="shared" ref="P38:P49" si="7">SUM(D38:O38)</f>
        <v>5222482440.4932623</v>
      </c>
      <c r="Q38" s="158"/>
      <c r="R38" s="131">
        <f t="shared" si="6"/>
        <v>201</v>
      </c>
    </row>
    <row r="39" spans="1:18">
      <c r="A39" s="131">
        <f t="shared" ref="A39:A50" si="8">A38+1</f>
        <v>202</v>
      </c>
      <c r="B39" s="150" t="s">
        <v>115</v>
      </c>
      <c r="C39" s="156">
        <f>'1-BaseTRR'!$F$2</f>
        <v>2022</v>
      </c>
      <c r="D39" s="468">
        <v>53939177.306153171</v>
      </c>
      <c r="E39" s="468">
        <v>100694218.04197666</v>
      </c>
      <c r="F39" s="468">
        <v>143527683.12200674</v>
      </c>
      <c r="G39" s="468">
        <v>31012686.679295875</v>
      </c>
      <c r="H39" s="468">
        <v>2771446858.2265739</v>
      </c>
      <c r="I39" s="468">
        <v>4736074.8411313258</v>
      </c>
      <c r="J39" s="468">
        <v>530576225.75012356</v>
      </c>
      <c r="K39" s="468">
        <v>167637807.36902645</v>
      </c>
      <c r="L39" s="468">
        <v>900322078.20065117</v>
      </c>
      <c r="M39" s="468">
        <v>352529381.151079</v>
      </c>
      <c r="N39" s="468">
        <v>117556439.22357331</v>
      </c>
      <c r="O39" s="468">
        <v>70582116.770621255</v>
      </c>
      <c r="P39" s="33">
        <f t="shared" si="7"/>
        <v>5244560746.6822138</v>
      </c>
      <c r="Q39" s="158"/>
      <c r="R39" s="131">
        <f t="shared" si="6"/>
        <v>202</v>
      </c>
    </row>
    <row r="40" spans="1:18">
      <c r="A40" s="131">
        <f t="shared" si="8"/>
        <v>203</v>
      </c>
      <c r="B40" s="150" t="s">
        <v>116</v>
      </c>
      <c r="C40" s="156">
        <f>'1-BaseTRR'!$F$2</f>
        <v>2022</v>
      </c>
      <c r="D40" s="468">
        <v>54028995.988591559</v>
      </c>
      <c r="E40" s="468">
        <v>100824239.79351325</v>
      </c>
      <c r="F40" s="468">
        <v>143541201.82333145</v>
      </c>
      <c r="G40" s="468">
        <v>31016070.665435053</v>
      </c>
      <c r="H40" s="468">
        <v>2776969628.4065247</v>
      </c>
      <c r="I40" s="468">
        <v>4736074.8411313258</v>
      </c>
      <c r="J40" s="468">
        <v>530662171.28361207</v>
      </c>
      <c r="K40" s="468">
        <v>155922499.76566413</v>
      </c>
      <c r="L40" s="468">
        <v>902804004.88909256</v>
      </c>
      <c r="M40" s="468">
        <v>352586754.13107902</v>
      </c>
      <c r="N40" s="468">
        <v>117535549.14932704</v>
      </c>
      <c r="O40" s="468">
        <v>71010100.348202154</v>
      </c>
      <c r="P40" s="33">
        <f t="shared" si="7"/>
        <v>5241637291.0855036</v>
      </c>
      <c r="Q40" s="158"/>
      <c r="R40" s="131">
        <f t="shared" si="6"/>
        <v>203</v>
      </c>
    </row>
    <row r="41" spans="1:18">
      <c r="A41" s="131">
        <f t="shared" si="8"/>
        <v>204</v>
      </c>
      <c r="B41" s="150" t="s">
        <v>117</v>
      </c>
      <c r="C41" s="156">
        <f>'1-BaseTRR'!$F$2</f>
        <v>2022</v>
      </c>
      <c r="D41" s="468">
        <v>61094914.601044327</v>
      </c>
      <c r="E41" s="468">
        <v>100890250.84059869</v>
      </c>
      <c r="F41" s="468">
        <v>143543984.82333145</v>
      </c>
      <c r="G41" s="468">
        <v>31572110.338209368</v>
      </c>
      <c r="H41" s="468">
        <v>2790602356.179461</v>
      </c>
      <c r="I41" s="468">
        <v>4736074.8411313258</v>
      </c>
      <c r="J41" s="468">
        <v>530703640.31581861</v>
      </c>
      <c r="K41" s="468">
        <v>161161686.60915765</v>
      </c>
      <c r="L41" s="468">
        <v>922314993.99424624</v>
      </c>
      <c r="M41" s="468">
        <v>355192472.41107899</v>
      </c>
      <c r="N41" s="468">
        <v>117548216.87130715</v>
      </c>
      <c r="O41" s="468">
        <v>71347916.282945797</v>
      </c>
      <c r="P41" s="33">
        <f t="shared" si="7"/>
        <v>5290708618.1083307</v>
      </c>
      <c r="Q41" s="158"/>
      <c r="R41" s="131">
        <f t="shared" si="6"/>
        <v>204</v>
      </c>
    </row>
    <row r="42" spans="1:18">
      <c r="A42" s="131">
        <f t="shared" si="8"/>
        <v>205</v>
      </c>
      <c r="B42" s="150" t="s">
        <v>90</v>
      </c>
      <c r="C42" s="156">
        <f>'1-BaseTRR'!$F$2</f>
        <v>2022</v>
      </c>
      <c r="D42" s="468">
        <v>61098813.540038422</v>
      </c>
      <c r="E42" s="468">
        <v>100909369.62278831</v>
      </c>
      <c r="F42" s="468">
        <v>143559109.78333145</v>
      </c>
      <c r="G42" s="468">
        <v>31776366.027915101</v>
      </c>
      <c r="H42" s="468">
        <v>2795065397.9047155</v>
      </c>
      <c r="I42" s="468">
        <v>4736074.8411313258</v>
      </c>
      <c r="J42" s="468">
        <v>528425254.71689546</v>
      </c>
      <c r="K42" s="468">
        <v>163069445.36912337</v>
      </c>
      <c r="L42" s="468">
        <v>946677086.10941875</v>
      </c>
      <c r="M42" s="468">
        <v>355260767.901079</v>
      </c>
      <c r="N42" s="468">
        <v>117631299.34647019</v>
      </c>
      <c r="O42" s="468">
        <v>71542289.542719766</v>
      </c>
      <c r="P42" s="33">
        <f t="shared" si="7"/>
        <v>5319751274.7056265</v>
      </c>
      <c r="Q42" s="158"/>
      <c r="R42" s="131">
        <f t="shared" si="6"/>
        <v>205</v>
      </c>
    </row>
    <row r="43" spans="1:18">
      <c r="A43" s="131">
        <f t="shared" si="8"/>
        <v>206</v>
      </c>
      <c r="B43" s="150" t="s">
        <v>277</v>
      </c>
      <c r="C43" s="156">
        <f>'1-BaseTRR'!$F$2</f>
        <v>2022</v>
      </c>
      <c r="D43" s="468">
        <v>61067537.859335423</v>
      </c>
      <c r="E43" s="468">
        <v>100921539.90499227</v>
      </c>
      <c r="F43" s="468">
        <v>143562109.03412455</v>
      </c>
      <c r="G43" s="468">
        <v>32438430.601475623</v>
      </c>
      <c r="H43" s="468">
        <v>2788340654.8977923</v>
      </c>
      <c r="I43" s="468">
        <v>4736074.8411313258</v>
      </c>
      <c r="J43" s="468">
        <v>528726009.27585411</v>
      </c>
      <c r="K43" s="468">
        <v>164751544.96027347</v>
      </c>
      <c r="L43" s="468">
        <v>957864989.91941237</v>
      </c>
      <c r="M43" s="468">
        <v>357631688.271079</v>
      </c>
      <c r="N43" s="468">
        <v>117701242.47031359</v>
      </c>
      <c r="O43" s="468">
        <v>72524659.57748878</v>
      </c>
      <c r="P43" s="33">
        <f t="shared" si="7"/>
        <v>5330266481.6132727</v>
      </c>
      <c r="Q43" s="158"/>
      <c r="R43" s="131">
        <f t="shared" si="6"/>
        <v>206</v>
      </c>
    </row>
    <row r="44" spans="1:18">
      <c r="A44" s="131">
        <f t="shared" si="8"/>
        <v>207</v>
      </c>
      <c r="B44" s="150" t="s">
        <v>119</v>
      </c>
      <c r="C44" s="156">
        <f>'1-BaseTRR'!$F$2</f>
        <v>2022</v>
      </c>
      <c r="D44" s="468">
        <v>61122756.643041551</v>
      </c>
      <c r="E44" s="468">
        <v>100989983.65432787</v>
      </c>
      <c r="F44" s="468">
        <v>143566855.51412454</v>
      </c>
      <c r="G44" s="468">
        <v>32674124.776611082</v>
      </c>
      <c r="H44" s="468">
        <v>2791586285.614357</v>
      </c>
      <c r="I44" s="468">
        <v>4741518.7872072496</v>
      </c>
      <c r="J44" s="468">
        <v>529941487.75394988</v>
      </c>
      <c r="K44" s="468">
        <v>163590751.30219138</v>
      </c>
      <c r="L44" s="468">
        <v>981893709.82347441</v>
      </c>
      <c r="M44" s="468">
        <v>357616927.25107902</v>
      </c>
      <c r="N44" s="468">
        <v>117827057.84527498</v>
      </c>
      <c r="O44" s="468">
        <v>73014896.947124749</v>
      </c>
      <c r="P44" s="33">
        <f t="shared" si="7"/>
        <v>5358566355.9127626</v>
      </c>
      <c r="Q44" s="158"/>
      <c r="R44" s="131">
        <f t="shared" si="6"/>
        <v>207</v>
      </c>
    </row>
    <row r="45" spans="1:18">
      <c r="A45" s="131">
        <f t="shared" si="8"/>
        <v>208</v>
      </c>
      <c r="B45" s="150" t="s">
        <v>120</v>
      </c>
      <c r="C45" s="156">
        <f>'1-BaseTRR'!$F$2</f>
        <v>2022</v>
      </c>
      <c r="D45" s="468">
        <v>61159556.162073731</v>
      </c>
      <c r="E45" s="468">
        <v>101025170.16161774</v>
      </c>
      <c r="F45" s="468">
        <v>143569416.66065148</v>
      </c>
      <c r="G45" s="468">
        <v>33179121.474308819</v>
      </c>
      <c r="H45" s="468">
        <v>2825510740.1126981</v>
      </c>
      <c r="I45" s="468">
        <v>4741518.7872072496</v>
      </c>
      <c r="J45" s="468">
        <v>530136295.93767756</v>
      </c>
      <c r="K45" s="468">
        <v>163007176.84319988</v>
      </c>
      <c r="L45" s="468">
        <v>1001318241.8850801</v>
      </c>
      <c r="M45" s="468">
        <v>357693485.20107901</v>
      </c>
      <c r="N45" s="468">
        <v>117969589.58524215</v>
      </c>
      <c r="O45" s="468">
        <v>73719832.507398784</v>
      </c>
      <c r="P45" s="33">
        <f t="shared" si="7"/>
        <v>5413030145.3182344</v>
      </c>
      <c r="Q45" s="158"/>
      <c r="R45" s="131">
        <f t="shared" si="6"/>
        <v>208</v>
      </c>
    </row>
    <row r="46" spans="1:18">
      <c r="A46" s="131">
        <f t="shared" si="8"/>
        <v>209</v>
      </c>
      <c r="B46" s="150" t="s">
        <v>121</v>
      </c>
      <c r="C46" s="156">
        <f>'1-BaseTRR'!$F$2</f>
        <v>2022</v>
      </c>
      <c r="D46" s="468">
        <v>61168058.917076036</v>
      </c>
      <c r="E46" s="468">
        <v>101067563.9531891</v>
      </c>
      <c r="F46" s="468">
        <v>143570548.33736709</v>
      </c>
      <c r="G46" s="468">
        <v>35372890.903438315</v>
      </c>
      <c r="H46" s="468">
        <v>2831756866.5036392</v>
      </c>
      <c r="I46" s="468">
        <v>4741518.7872072496</v>
      </c>
      <c r="J46" s="468">
        <v>526282021.74011999</v>
      </c>
      <c r="K46" s="468">
        <v>170726484.31955007</v>
      </c>
      <c r="L46" s="468">
        <v>1019373823.0439504</v>
      </c>
      <c r="M46" s="468">
        <v>357717122.97107899</v>
      </c>
      <c r="N46" s="468">
        <v>117567012.22096299</v>
      </c>
      <c r="O46" s="468">
        <v>74968834.756602243</v>
      </c>
      <c r="P46" s="33">
        <f t="shared" si="7"/>
        <v>5444312746.4541807</v>
      </c>
      <c r="Q46" s="158"/>
      <c r="R46" s="131">
        <f t="shared" si="6"/>
        <v>209</v>
      </c>
    </row>
    <row r="47" spans="1:18">
      <c r="A47" s="131">
        <f t="shared" si="8"/>
        <v>210</v>
      </c>
      <c r="B47" s="150" t="s">
        <v>122</v>
      </c>
      <c r="C47" s="156">
        <f>'1-BaseTRR'!$F$2</f>
        <v>2022</v>
      </c>
      <c r="D47" s="468">
        <v>61169871.124681972</v>
      </c>
      <c r="E47" s="468">
        <v>101099810.67864875</v>
      </c>
      <c r="F47" s="468">
        <v>143567677.1205242</v>
      </c>
      <c r="G47" s="468">
        <v>33510499.305401936</v>
      </c>
      <c r="H47" s="468">
        <v>2835104805.7942991</v>
      </c>
      <c r="I47" s="468">
        <v>4741518.7872072496</v>
      </c>
      <c r="J47" s="468">
        <v>530670184.89249861</v>
      </c>
      <c r="K47" s="468">
        <v>173002109.31518558</v>
      </c>
      <c r="L47" s="468">
        <v>1026271176.0265926</v>
      </c>
      <c r="M47" s="468">
        <v>357742174.38107902</v>
      </c>
      <c r="N47" s="468">
        <v>117556484.88487998</v>
      </c>
      <c r="O47" s="468">
        <v>78783439.202536613</v>
      </c>
      <c r="P47" s="33">
        <f t="shared" si="7"/>
        <v>5463219751.5135345</v>
      </c>
      <c r="Q47" s="158"/>
      <c r="R47" s="131">
        <f t="shared" si="6"/>
        <v>210</v>
      </c>
    </row>
    <row r="48" spans="1:18">
      <c r="A48" s="131">
        <f t="shared" si="8"/>
        <v>211</v>
      </c>
      <c r="B48" s="150" t="s">
        <v>123</v>
      </c>
      <c r="C48" s="156">
        <f>'1-BaseTRR'!$F$2</f>
        <v>2022</v>
      </c>
      <c r="D48" s="468">
        <v>61170023.604681969</v>
      </c>
      <c r="E48" s="468">
        <v>101108250.33786391</v>
      </c>
      <c r="F48" s="468">
        <v>143587643.37340215</v>
      </c>
      <c r="G48" s="468">
        <v>33700752.980145745</v>
      </c>
      <c r="H48" s="468">
        <v>2832792874.8215265</v>
      </c>
      <c r="I48" s="468">
        <v>4741518.7872072496</v>
      </c>
      <c r="J48" s="468">
        <v>543814534.35323286</v>
      </c>
      <c r="K48" s="468">
        <v>173226328.69798636</v>
      </c>
      <c r="L48" s="468">
        <v>1031773762.2102841</v>
      </c>
      <c r="M48" s="468">
        <v>357739638.60176063</v>
      </c>
      <c r="N48" s="468">
        <v>117556538.87346756</v>
      </c>
      <c r="O48" s="468">
        <v>78819758.042979911</v>
      </c>
      <c r="P48" s="33">
        <f t="shared" si="7"/>
        <v>5480031624.6845398</v>
      </c>
      <c r="Q48" s="158"/>
      <c r="R48" s="131">
        <f t="shared" si="6"/>
        <v>211</v>
      </c>
    </row>
    <row r="49" spans="1:18">
      <c r="A49" s="131">
        <f t="shared" si="8"/>
        <v>212</v>
      </c>
      <c r="B49" s="159" t="s">
        <v>113</v>
      </c>
      <c r="C49" s="160">
        <f>'1-BaseTRR'!$F$2</f>
        <v>2022</v>
      </c>
      <c r="D49" s="469">
        <v>60162731.08416947</v>
      </c>
      <c r="E49" s="469">
        <v>100662592.20168242</v>
      </c>
      <c r="F49" s="469">
        <v>158358385.74996537</v>
      </c>
      <c r="G49" s="469">
        <v>37915005.32041502</v>
      </c>
      <c r="H49" s="469">
        <v>2739649434.2214961</v>
      </c>
      <c r="I49" s="469">
        <v>4741531.8130886443</v>
      </c>
      <c r="J49" s="469">
        <v>544170941.50518775</v>
      </c>
      <c r="K49" s="469">
        <v>137957292.88401097</v>
      </c>
      <c r="L49" s="469">
        <v>1022637283.156759</v>
      </c>
      <c r="M49" s="469">
        <v>357208084.25825995</v>
      </c>
      <c r="N49" s="469">
        <v>117364996.77943152</v>
      </c>
      <c r="O49" s="469">
        <v>85300632.076979473</v>
      </c>
      <c r="P49" s="470">
        <f t="shared" si="7"/>
        <v>5366128911.051445</v>
      </c>
      <c r="Q49" s="158"/>
      <c r="R49" s="131">
        <f t="shared" si="6"/>
        <v>212</v>
      </c>
    </row>
    <row r="50" spans="1:18">
      <c r="A50" s="131">
        <f t="shared" si="8"/>
        <v>213</v>
      </c>
      <c r="B50" s="544" t="s">
        <v>362</v>
      </c>
      <c r="C50" s="169"/>
      <c r="D50" s="199">
        <f>SUM(D37:D49)/13</f>
        <v>58783364.216217041</v>
      </c>
      <c r="E50" s="199">
        <f>SUM(E37:E49)/13</f>
        <v>100857894.79014063</v>
      </c>
      <c r="F50" s="199">
        <f>SUM(F37:F49)/13</f>
        <v>145315438.3192094</v>
      </c>
      <c r="G50" s="199">
        <f>SUM(G37:G49)/13</f>
        <v>33051193.181985281</v>
      </c>
      <c r="H50" s="199">
        <f t="shared" ref="H50" si="9">SUM(H37:H49)/13</f>
        <v>2796979136.1536813</v>
      </c>
      <c r="I50" s="199">
        <f t="shared" ref="I50" si="10">SUM(I37:I49)/13</f>
        <v>4745167.5227625258</v>
      </c>
      <c r="J50" s="199">
        <f t="shared" ref="J50" si="11">SUM(J37:J49)/13</f>
        <v>532914468.4423328</v>
      </c>
      <c r="K50" s="199">
        <f t="shared" ref="K50" si="12">SUM(K37:K49)/13</f>
        <v>161477168.15156019</v>
      </c>
      <c r="L50" s="199">
        <f t="shared" ref="L50" si="13">SUM(L37:L49)/13</f>
        <v>957993657.99388528</v>
      </c>
      <c r="M50" s="199">
        <f t="shared" ref="M50" si="14">SUM(M37:M49)/13</f>
        <v>355621123.13621616</v>
      </c>
      <c r="N50" s="199">
        <f t="shared" ref="N50" si="15">SUM(N37:N49)/13</f>
        <v>117562263.315639</v>
      </c>
      <c r="O50" s="199">
        <f t="shared" ref="O50" si="16">SUM(O37:O49)/13</f>
        <v>74005093.055055812</v>
      </c>
      <c r="P50" s="353">
        <f t="shared" ref="P50" si="17">SUM(P37:P49)/13</f>
        <v>5339305968.2786856</v>
      </c>
      <c r="Q50" s="158"/>
      <c r="R50" s="131">
        <f t="shared" si="6"/>
        <v>213</v>
      </c>
    </row>
    <row r="51" spans="1:18">
      <c r="A51" s="27"/>
      <c r="B51" s="17"/>
      <c r="C51" s="17"/>
      <c r="D51" s="17"/>
      <c r="E51" s="17"/>
      <c r="F51" s="17"/>
      <c r="G51" s="17"/>
      <c r="H51" s="17"/>
      <c r="I51" s="17"/>
      <c r="J51" s="17"/>
      <c r="K51" s="17"/>
      <c r="L51" s="17"/>
      <c r="M51" s="17"/>
      <c r="R51" s="131"/>
    </row>
    <row r="52" spans="1:18">
      <c r="A52" s="27"/>
      <c r="B52" s="17"/>
      <c r="C52" s="17"/>
      <c r="D52" s="17"/>
      <c r="E52" s="17"/>
      <c r="F52" s="17"/>
      <c r="G52" s="17"/>
      <c r="H52" s="17"/>
      <c r="I52" s="17"/>
      <c r="J52" s="17"/>
      <c r="K52" s="17"/>
      <c r="L52" s="17"/>
      <c r="M52" s="17"/>
      <c r="R52" s="131"/>
    </row>
    <row r="53" spans="1:18">
      <c r="B53" s="57" t="s">
        <v>364</v>
      </c>
      <c r="C53" s="57"/>
      <c r="D53" s="144"/>
      <c r="E53" s="144"/>
      <c r="F53" s="54"/>
      <c r="G53" s="144"/>
      <c r="H53" s="144"/>
      <c r="I53" s="144"/>
      <c r="J53" s="144"/>
      <c r="K53" s="144"/>
      <c r="L53" s="144"/>
      <c r="M53" s="144"/>
      <c r="N53" s="54"/>
      <c r="O53" s="54"/>
      <c r="P53" s="54"/>
      <c r="Q53" s="54"/>
    </row>
    <row r="54" spans="1:18">
      <c r="B54" s="150" t="s">
        <v>1886</v>
      </c>
      <c r="C54" s="12"/>
      <c r="D54" s="17"/>
      <c r="E54" s="17"/>
      <c r="G54" s="17"/>
      <c r="H54" s="17"/>
      <c r="I54" s="17"/>
      <c r="J54" s="17"/>
      <c r="K54" s="17"/>
      <c r="L54" s="17"/>
      <c r="M54" s="17"/>
    </row>
    <row r="55" spans="1:18">
      <c r="B55" t="s">
        <v>1300</v>
      </c>
      <c r="C55" s="12"/>
      <c r="D55" s="17"/>
      <c r="E55" s="17"/>
      <c r="G55" s="17"/>
      <c r="H55" s="17"/>
      <c r="I55" s="17"/>
      <c r="J55" s="17"/>
      <c r="K55" s="17"/>
      <c r="L55" s="17"/>
      <c r="M55" s="17"/>
    </row>
    <row r="56" spans="1:18">
      <c r="B56" s="150"/>
      <c r="C56" s="12"/>
      <c r="D56" s="17"/>
      <c r="E56" s="17"/>
      <c r="G56" s="17"/>
      <c r="H56" s="17"/>
      <c r="I56" s="17"/>
      <c r="J56" s="17"/>
      <c r="K56" s="17"/>
      <c r="L56" s="17"/>
      <c r="M56" s="17"/>
    </row>
    <row r="57" spans="1:18">
      <c r="A57" s="8"/>
      <c r="D57" s="122" t="s">
        <v>100</v>
      </c>
      <c r="E57" s="122" t="s">
        <v>101</v>
      </c>
      <c r="F57" s="122" t="s">
        <v>102</v>
      </c>
      <c r="G57" s="122" t="s">
        <v>103</v>
      </c>
      <c r="H57" s="122" t="s">
        <v>104</v>
      </c>
      <c r="I57" s="122" t="s">
        <v>105</v>
      </c>
      <c r="J57" s="122" t="s">
        <v>106</v>
      </c>
      <c r="K57" s="122" t="s">
        <v>107</v>
      </c>
      <c r="L57" s="122" t="s">
        <v>108</v>
      </c>
      <c r="M57" s="122" t="s">
        <v>271</v>
      </c>
      <c r="N57" s="122" t="s">
        <v>272</v>
      </c>
      <c r="O57" s="122" t="s">
        <v>273</v>
      </c>
      <c r="P57" s="122" t="s">
        <v>274</v>
      </c>
      <c r="Q57" s="122"/>
      <c r="R57" s="131"/>
    </row>
    <row r="58" spans="1:18">
      <c r="B58" s="8"/>
      <c r="C58" s="8"/>
      <c r="D58" s="162"/>
      <c r="E58" s="162"/>
      <c r="F58" s="162"/>
      <c r="G58" s="162"/>
      <c r="H58" s="162"/>
      <c r="I58" s="162"/>
      <c r="J58" s="162"/>
      <c r="K58" s="162"/>
      <c r="L58" s="162"/>
      <c r="M58" s="162"/>
      <c r="N58" s="162"/>
      <c r="O58" s="162"/>
      <c r="P58" s="153" t="s">
        <v>1168</v>
      </c>
      <c r="Q58" s="30"/>
      <c r="R58" s="131"/>
    </row>
    <row r="59" spans="1:18">
      <c r="B59" s="8"/>
      <c r="C59" s="8"/>
      <c r="N59" s="30"/>
      <c r="P59" s="30"/>
      <c r="Q59" s="30"/>
      <c r="R59" s="131"/>
    </row>
    <row r="60" spans="1:18">
      <c r="A60" s="131"/>
      <c r="B60" s="131"/>
      <c r="C60" s="130" t="s">
        <v>348</v>
      </c>
      <c r="D60" s="123">
        <v>350.01</v>
      </c>
      <c r="E60" s="123">
        <v>350.02</v>
      </c>
      <c r="F60" s="123">
        <v>352.01</v>
      </c>
      <c r="G60" s="123">
        <v>352.02</v>
      </c>
      <c r="H60" s="123">
        <v>353.01</v>
      </c>
      <c r="I60" s="123">
        <v>353.02</v>
      </c>
      <c r="J60" s="123">
        <v>354</v>
      </c>
      <c r="K60" s="123">
        <v>355</v>
      </c>
      <c r="L60" s="123">
        <v>356</v>
      </c>
      <c r="M60" s="123">
        <v>357</v>
      </c>
      <c r="N60" s="123">
        <v>358</v>
      </c>
      <c r="O60" s="123">
        <v>359</v>
      </c>
      <c r="R60" s="131"/>
    </row>
    <row r="61" spans="1:18">
      <c r="A61" s="119" t="s">
        <v>124</v>
      </c>
      <c r="B61" s="119" t="s">
        <v>82</v>
      </c>
      <c r="C61" s="119" t="s">
        <v>111</v>
      </c>
      <c r="D61" s="122" t="s">
        <v>349</v>
      </c>
      <c r="E61" s="122" t="s">
        <v>350</v>
      </c>
      <c r="F61" s="122" t="s">
        <v>351</v>
      </c>
      <c r="G61" s="122" t="s">
        <v>352</v>
      </c>
      <c r="H61" s="122" t="s">
        <v>353</v>
      </c>
      <c r="I61" s="122" t="s">
        <v>354</v>
      </c>
      <c r="J61" s="122" t="s">
        <v>355</v>
      </c>
      <c r="K61" s="122" t="s">
        <v>356</v>
      </c>
      <c r="L61" s="122" t="s">
        <v>357</v>
      </c>
      <c r="M61" s="122" t="s">
        <v>358</v>
      </c>
      <c r="N61" s="122" t="s">
        <v>359</v>
      </c>
      <c r="O61" s="122" t="s">
        <v>360</v>
      </c>
      <c r="P61" s="119" t="s">
        <v>361</v>
      </c>
      <c r="Q61" s="119"/>
      <c r="R61" s="119" t="str">
        <f>A61</f>
        <v>Line</v>
      </c>
    </row>
    <row r="62" spans="1:18">
      <c r="A62" s="131">
        <v>300</v>
      </c>
      <c r="B62" s="150" t="s">
        <v>113</v>
      </c>
      <c r="C62" s="156">
        <f>'1-BaseTRR'!$F$2-1</f>
        <v>2021</v>
      </c>
      <c r="D62" s="468">
        <v>29727454</v>
      </c>
      <c r="E62" s="468">
        <v>108722857</v>
      </c>
      <c r="F62" s="468">
        <v>211537017</v>
      </c>
      <c r="G62" s="468">
        <v>74192763</v>
      </c>
      <c r="H62" s="468">
        <v>4718207720</v>
      </c>
      <c r="I62" s="468">
        <v>31169847</v>
      </c>
      <c r="J62" s="468">
        <v>503640176</v>
      </c>
      <c r="K62" s="468">
        <v>2017210507</v>
      </c>
      <c r="L62" s="468">
        <v>1482520771</v>
      </c>
      <c r="M62" s="468">
        <v>166938584</v>
      </c>
      <c r="N62" s="468">
        <v>164636286</v>
      </c>
      <c r="O62" s="468">
        <v>94920414</v>
      </c>
      <c r="P62" s="33">
        <f>SUM(D62:O62)</f>
        <v>9603424396</v>
      </c>
      <c r="Q62" s="158"/>
      <c r="R62" s="131">
        <f t="shared" ref="R62:R75" si="18">A62</f>
        <v>300</v>
      </c>
    </row>
    <row r="63" spans="1:18">
      <c r="A63" s="131">
        <f>A62+1</f>
        <v>301</v>
      </c>
      <c r="B63" s="150" t="s">
        <v>114</v>
      </c>
      <c r="C63" s="156">
        <f>'1-BaseTRR'!$F$2</f>
        <v>2022</v>
      </c>
      <c r="D63" s="468">
        <v>29731219.900066003</v>
      </c>
      <c r="E63" s="468">
        <v>109557507.75937083</v>
      </c>
      <c r="F63" s="468">
        <v>219984235.47243848</v>
      </c>
      <c r="G63" s="468">
        <v>77961067.566843301</v>
      </c>
      <c r="H63" s="468">
        <v>4765583012.6152248</v>
      </c>
      <c r="I63" s="468">
        <v>31255375.478868678</v>
      </c>
      <c r="J63" s="468">
        <v>504994619.49464554</v>
      </c>
      <c r="K63" s="468">
        <v>2048272443.195087</v>
      </c>
      <c r="L63" s="468">
        <v>1509282896.9284532</v>
      </c>
      <c r="M63" s="468">
        <v>167578684.24892098</v>
      </c>
      <c r="N63" s="468">
        <v>165234300.23694375</v>
      </c>
      <c r="O63" s="468">
        <v>95535267.919874102</v>
      </c>
      <c r="P63" s="33">
        <f t="shared" ref="P63:P74" si="19">SUM(D63:O63)</f>
        <v>9724970630.8167362</v>
      </c>
      <c r="Q63" s="158"/>
      <c r="R63" s="131">
        <f t="shared" si="18"/>
        <v>301</v>
      </c>
    </row>
    <row r="64" spans="1:18">
      <c r="A64" s="131">
        <f t="shared" ref="A64:A75" si="20">A63+1</f>
        <v>302</v>
      </c>
      <c r="B64" s="150" t="s">
        <v>115</v>
      </c>
      <c r="C64" s="156">
        <f>'1-BaseTRR'!$F$2</f>
        <v>2022</v>
      </c>
      <c r="D64" s="468">
        <v>29834736.33384683</v>
      </c>
      <c r="E64" s="468">
        <v>109738553.68802334</v>
      </c>
      <c r="F64" s="468">
        <v>219553463.54799327</v>
      </c>
      <c r="G64" s="468">
        <v>77970874.840704128</v>
      </c>
      <c r="H64" s="468">
        <v>4779194007.603426</v>
      </c>
      <c r="I64" s="468">
        <v>31256278.978868678</v>
      </c>
      <c r="J64" s="468">
        <v>502019584.99987644</v>
      </c>
      <c r="K64" s="468">
        <v>2060469479.7809734</v>
      </c>
      <c r="L64" s="468">
        <v>1520600838.8493488</v>
      </c>
      <c r="M64" s="468">
        <v>167578684.24892098</v>
      </c>
      <c r="N64" s="468">
        <v>165234824.57642668</v>
      </c>
      <c r="O64" s="468">
        <v>95614944.569378734</v>
      </c>
      <c r="P64" s="33">
        <f t="shared" si="19"/>
        <v>9759066272.017786</v>
      </c>
      <c r="Q64" s="158"/>
      <c r="R64" s="131">
        <f t="shared" si="18"/>
        <v>302</v>
      </c>
    </row>
    <row r="65" spans="1:18">
      <c r="A65" s="131">
        <f t="shared" si="20"/>
        <v>303</v>
      </c>
      <c r="B65" s="150" t="s">
        <v>116</v>
      </c>
      <c r="C65" s="156">
        <f>'1-BaseTRR'!$F$2</f>
        <v>2022</v>
      </c>
      <c r="D65" s="468">
        <v>31267021.451408442</v>
      </c>
      <c r="E65" s="468">
        <v>109876803.01648673</v>
      </c>
      <c r="F65" s="468">
        <v>219963041.02666855</v>
      </c>
      <c r="G65" s="468">
        <v>78116150.964564949</v>
      </c>
      <c r="H65" s="468">
        <v>4782898580.3534756</v>
      </c>
      <c r="I65" s="468">
        <v>31256277.398868673</v>
      </c>
      <c r="J65" s="468">
        <v>506436641.98638791</v>
      </c>
      <c r="K65" s="468">
        <v>2079057199.4343357</v>
      </c>
      <c r="L65" s="468">
        <v>1508461600.2709074</v>
      </c>
      <c r="M65" s="468">
        <v>167579725.91892096</v>
      </c>
      <c r="N65" s="468">
        <v>165461950.08067298</v>
      </c>
      <c r="O65" s="468">
        <v>97290256.161797836</v>
      </c>
      <c r="P65" s="33">
        <f t="shared" si="19"/>
        <v>9777665248.0644951</v>
      </c>
      <c r="Q65" s="158"/>
      <c r="R65" s="131">
        <f t="shared" si="18"/>
        <v>303</v>
      </c>
    </row>
    <row r="66" spans="1:18">
      <c r="A66" s="131">
        <f t="shared" si="20"/>
        <v>304</v>
      </c>
      <c r="B66" s="150" t="s">
        <v>117</v>
      </c>
      <c r="C66" s="156">
        <f>'1-BaseTRR'!$F$2</f>
        <v>2022</v>
      </c>
      <c r="D66" s="468">
        <v>31276318.588955671</v>
      </c>
      <c r="E66" s="468">
        <v>110047167.61940131</v>
      </c>
      <c r="F66" s="468">
        <v>220286217.21666855</v>
      </c>
      <c r="G66" s="468">
        <v>78474957.221790642</v>
      </c>
      <c r="H66" s="468">
        <v>4801219555.5605392</v>
      </c>
      <c r="I66" s="468">
        <v>31237568.778868675</v>
      </c>
      <c r="J66" s="468">
        <v>503947152.56418139</v>
      </c>
      <c r="K66" s="468">
        <v>2096230117.6208422</v>
      </c>
      <c r="L66" s="468">
        <v>1528133705.3357539</v>
      </c>
      <c r="M66" s="468">
        <v>167577391.43892097</v>
      </c>
      <c r="N66" s="468">
        <v>164887437.89869285</v>
      </c>
      <c r="O66" s="468">
        <v>97932290.037054211</v>
      </c>
      <c r="P66" s="33">
        <f t="shared" si="19"/>
        <v>9831249879.88167</v>
      </c>
      <c r="Q66" s="158"/>
      <c r="R66" s="131">
        <f t="shared" si="18"/>
        <v>304</v>
      </c>
    </row>
    <row r="67" spans="1:18">
      <c r="A67" s="131">
        <f t="shared" si="20"/>
        <v>305</v>
      </c>
      <c r="B67" s="150" t="s">
        <v>90</v>
      </c>
      <c r="C67" s="156">
        <f>'1-BaseTRR'!$F$2</f>
        <v>2022</v>
      </c>
      <c r="D67" s="468">
        <v>33574371.869961575</v>
      </c>
      <c r="E67" s="468">
        <v>110169359.11721168</v>
      </c>
      <c r="F67" s="468">
        <v>220488955.52666855</v>
      </c>
      <c r="G67" s="468">
        <v>79018594.052084908</v>
      </c>
      <c r="H67" s="468">
        <v>4822100668.3452854</v>
      </c>
      <c r="I67" s="468">
        <v>31237571.438868672</v>
      </c>
      <c r="J67" s="468">
        <v>493893214.26310456</v>
      </c>
      <c r="K67" s="468">
        <v>2106241880.6908767</v>
      </c>
      <c r="L67" s="468">
        <v>1559805691.3205814</v>
      </c>
      <c r="M67" s="468">
        <v>167336504.41892096</v>
      </c>
      <c r="N67" s="468">
        <v>164885877.29352981</v>
      </c>
      <c r="O67" s="468">
        <v>98358983.847280234</v>
      </c>
      <c r="P67" s="33">
        <f t="shared" si="19"/>
        <v>9887111672.1843739</v>
      </c>
      <c r="Q67" s="158"/>
      <c r="R67" s="131">
        <f t="shared" si="18"/>
        <v>305</v>
      </c>
    </row>
    <row r="68" spans="1:18">
      <c r="A68" s="131">
        <f t="shared" si="20"/>
        <v>306</v>
      </c>
      <c r="B68" s="150" t="s">
        <v>277</v>
      </c>
      <c r="C68" s="156">
        <f>'1-BaseTRR'!$F$2</f>
        <v>2022</v>
      </c>
      <c r="D68" s="468">
        <v>33741862.130664572</v>
      </c>
      <c r="E68" s="468">
        <v>110210975.74500774</v>
      </c>
      <c r="F68" s="468">
        <v>220018672.82587543</v>
      </c>
      <c r="G68" s="468">
        <v>80348744.058524385</v>
      </c>
      <c r="H68" s="468">
        <v>4816778172.3222084</v>
      </c>
      <c r="I68" s="468">
        <v>31237581.318868674</v>
      </c>
      <c r="J68" s="468">
        <v>494595513.27414584</v>
      </c>
      <c r="K68" s="468">
        <v>2122469013.2597265</v>
      </c>
      <c r="L68" s="468">
        <v>1572893602.0705876</v>
      </c>
      <c r="M68" s="468">
        <v>167336477.66892096</v>
      </c>
      <c r="N68" s="468">
        <v>165014051.78968638</v>
      </c>
      <c r="O68" s="468">
        <v>98538117.642511219</v>
      </c>
      <c r="P68" s="33">
        <f t="shared" si="19"/>
        <v>9913182784.1067276</v>
      </c>
      <c r="Q68" s="158"/>
      <c r="R68" s="131">
        <f t="shared" si="18"/>
        <v>306</v>
      </c>
    </row>
    <row r="69" spans="1:18">
      <c r="A69" s="131">
        <f t="shared" si="20"/>
        <v>307</v>
      </c>
      <c r="B69" s="150" t="s">
        <v>119</v>
      </c>
      <c r="C69" s="156">
        <f>'1-BaseTRR'!$F$2</f>
        <v>2022</v>
      </c>
      <c r="D69" s="468">
        <v>33817710.836958453</v>
      </c>
      <c r="E69" s="468">
        <v>110241629.57567212</v>
      </c>
      <c r="F69" s="468">
        <v>220159591.77587545</v>
      </c>
      <c r="G69" s="468">
        <v>81350374.333388925</v>
      </c>
      <c r="H69" s="468">
        <v>4820336723.9456425</v>
      </c>
      <c r="I69" s="468">
        <v>31248020.062792748</v>
      </c>
      <c r="J69" s="468">
        <v>495529287.23605013</v>
      </c>
      <c r="K69" s="468">
        <v>2138571879.2078087</v>
      </c>
      <c r="L69" s="468">
        <v>1582193683.3665254</v>
      </c>
      <c r="M69" s="468">
        <v>167336527.41892096</v>
      </c>
      <c r="N69" s="468">
        <v>165271308.54472503</v>
      </c>
      <c r="O69" s="468">
        <v>98464739.752875239</v>
      </c>
      <c r="P69" s="33">
        <f t="shared" si="19"/>
        <v>9944521476.0572338</v>
      </c>
      <c r="Q69" s="158"/>
      <c r="R69" s="131">
        <f t="shared" si="18"/>
        <v>307</v>
      </c>
    </row>
    <row r="70" spans="1:18">
      <c r="A70" s="131">
        <f t="shared" si="20"/>
        <v>308</v>
      </c>
      <c r="B70" s="150" t="s">
        <v>120</v>
      </c>
      <c r="C70" s="156">
        <f>'1-BaseTRR'!$F$2</f>
        <v>2022</v>
      </c>
      <c r="D70" s="468">
        <v>33904978.967926264</v>
      </c>
      <c r="E70" s="468">
        <v>110299006.17838225</v>
      </c>
      <c r="F70" s="468">
        <v>220083211.21934852</v>
      </c>
      <c r="G70" s="468">
        <v>81775184.965691194</v>
      </c>
      <c r="H70" s="468">
        <v>4831037950.6373024</v>
      </c>
      <c r="I70" s="468">
        <v>31248030.222792752</v>
      </c>
      <c r="J70" s="468">
        <v>496206758.91232246</v>
      </c>
      <c r="K70" s="468">
        <v>2153608503.6368003</v>
      </c>
      <c r="L70" s="468">
        <v>1602501360.73492</v>
      </c>
      <c r="M70" s="468">
        <v>167336691.34892097</v>
      </c>
      <c r="N70" s="468">
        <v>165653513.04475784</v>
      </c>
      <c r="O70" s="468">
        <v>98976786.152601212</v>
      </c>
      <c r="P70" s="33">
        <f t="shared" si="19"/>
        <v>9992631976.0217667</v>
      </c>
      <c r="Q70" s="158"/>
      <c r="R70" s="131">
        <f t="shared" si="18"/>
        <v>308</v>
      </c>
    </row>
    <row r="71" spans="1:18">
      <c r="A71" s="131">
        <f t="shared" si="20"/>
        <v>309</v>
      </c>
      <c r="B71" s="150" t="s">
        <v>121</v>
      </c>
      <c r="C71" s="156">
        <f>'1-BaseTRR'!$F$2</f>
        <v>2022</v>
      </c>
      <c r="D71" s="468">
        <v>33612191.552923962</v>
      </c>
      <c r="E71" s="468">
        <v>110412655.62681091</v>
      </c>
      <c r="F71" s="468">
        <v>220314683.40263289</v>
      </c>
      <c r="G71" s="468">
        <v>85857598.956561685</v>
      </c>
      <c r="H71" s="468">
        <v>4845663134.716361</v>
      </c>
      <c r="I71" s="468">
        <v>31248033.66279275</v>
      </c>
      <c r="J71" s="468">
        <v>494130229.02987999</v>
      </c>
      <c r="K71" s="468">
        <v>2162539106.1304502</v>
      </c>
      <c r="L71" s="468">
        <v>1610134667.3760495</v>
      </c>
      <c r="M71" s="468">
        <v>167335103.87892097</v>
      </c>
      <c r="N71" s="468">
        <v>164478641.39903703</v>
      </c>
      <c r="O71" s="468">
        <v>100290719.78339775</v>
      </c>
      <c r="P71" s="33">
        <f t="shared" si="19"/>
        <v>10026016765.51582</v>
      </c>
      <c r="Q71" s="158"/>
      <c r="R71" s="131">
        <f t="shared" si="18"/>
        <v>309</v>
      </c>
    </row>
    <row r="72" spans="1:18">
      <c r="A72" s="131">
        <f t="shared" si="20"/>
        <v>310</v>
      </c>
      <c r="B72" s="150" t="s">
        <v>122</v>
      </c>
      <c r="C72" s="156">
        <f>'1-BaseTRR'!$F$2</f>
        <v>2022</v>
      </c>
      <c r="D72" s="468">
        <v>33688439.265318029</v>
      </c>
      <c r="E72" s="468">
        <v>110463496.78135125</v>
      </c>
      <c r="F72" s="468">
        <v>220355075.38947582</v>
      </c>
      <c r="G72" s="468">
        <v>86354485.144598067</v>
      </c>
      <c r="H72" s="468">
        <v>4840869542.6057005</v>
      </c>
      <c r="I72" s="468">
        <v>31248036.542792752</v>
      </c>
      <c r="J72" s="468">
        <v>501606049.35750139</v>
      </c>
      <c r="K72" s="468">
        <v>2185790455.8948145</v>
      </c>
      <c r="L72" s="468">
        <v>1615870382.2934074</v>
      </c>
      <c r="M72" s="468">
        <v>167335340.19892097</v>
      </c>
      <c r="N72" s="468">
        <v>164519358.35512003</v>
      </c>
      <c r="O72" s="468">
        <v>100724133.06746337</v>
      </c>
      <c r="P72" s="33">
        <f t="shared" si="19"/>
        <v>10058824794.896463</v>
      </c>
      <c r="Q72" s="158"/>
      <c r="R72" s="131">
        <f t="shared" si="18"/>
        <v>310</v>
      </c>
    </row>
    <row r="73" spans="1:18">
      <c r="A73" s="131">
        <f t="shared" si="20"/>
        <v>311</v>
      </c>
      <c r="B73" s="150" t="s">
        <v>123</v>
      </c>
      <c r="C73" s="156">
        <f>'1-BaseTRR'!$F$2</f>
        <v>2022</v>
      </c>
      <c r="D73" s="468">
        <v>33759909.635318026</v>
      </c>
      <c r="E73" s="468">
        <v>110477568.1521361</v>
      </c>
      <c r="F73" s="468">
        <v>220472677.41659787</v>
      </c>
      <c r="G73" s="468">
        <v>87798634.979854256</v>
      </c>
      <c r="H73" s="468">
        <v>4839463718.2984734</v>
      </c>
      <c r="I73" s="468">
        <v>31248040.462792754</v>
      </c>
      <c r="J73" s="468">
        <v>505288856.20676708</v>
      </c>
      <c r="K73" s="468">
        <v>2202813619.9620137</v>
      </c>
      <c r="L73" s="468">
        <v>1649751751.1097159</v>
      </c>
      <c r="M73" s="468">
        <v>167335208.10823938</v>
      </c>
      <c r="N73" s="468">
        <v>164464827.38653246</v>
      </c>
      <c r="O73" s="468">
        <v>101014735.10702009</v>
      </c>
      <c r="P73" s="33">
        <f t="shared" si="19"/>
        <v>10113889546.82546</v>
      </c>
      <c r="Q73" s="158"/>
      <c r="R73" s="131">
        <f t="shared" si="18"/>
        <v>311</v>
      </c>
    </row>
    <row r="74" spans="1:18">
      <c r="A74" s="131">
        <f t="shared" si="20"/>
        <v>312</v>
      </c>
      <c r="B74" s="159" t="s">
        <v>113</v>
      </c>
      <c r="C74" s="160">
        <f>'1-BaseTRR'!$F$2</f>
        <v>2022</v>
      </c>
      <c r="D74" s="469">
        <v>34141722.9905442</v>
      </c>
      <c r="E74" s="469">
        <v>110407361.92614146</v>
      </c>
      <c r="F74" s="469">
        <v>204840916.57504749</v>
      </c>
      <c r="G74" s="469">
        <v>87456510.463450015</v>
      </c>
      <c r="H74" s="469">
        <v>4967124837.8273926</v>
      </c>
      <c r="I74" s="469">
        <v>31248029.773223724</v>
      </c>
      <c r="J74" s="469">
        <v>518071464.38289094</v>
      </c>
      <c r="K74" s="469">
        <v>2243888540.4650226</v>
      </c>
      <c r="L74" s="469">
        <v>1663490690.5170214</v>
      </c>
      <c r="M74" s="469">
        <v>166487397.00455198</v>
      </c>
      <c r="N74" s="469">
        <v>164529978.58233494</v>
      </c>
      <c r="O74" s="469">
        <v>100838929.52938381</v>
      </c>
      <c r="P74" s="470">
        <f t="shared" si="19"/>
        <v>10292526380.037006</v>
      </c>
      <c r="Q74" s="158"/>
      <c r="R74" s="131">
        <f t="shared" si="18"/>
        <v>312</v>
      </c>
    </row>
    <row r="75" spans="1:18">
      <c r="A75" s="131">
        <f t="shared" si="20"/>
        <v>313</v>
      </c>
      <c r="B75" s="544" t="s">
        <v>362</v>
      </c>
      <c r="C75" s="169"/>
      <c r="D75" s="199">
        <f>SUM(D62:D74)/13</f>
        <v>32467533.655684009</v>
      </c>
      <c r="E75" s="199">
        <f>SUM(E62:E74)/13</f>
        <v>110048072.47584583</v>
      </c>
      <c r="F75" s="199">
        <f>SUM(F62:F74)/13</f>
        <v>218312135.26117623</v>
      </c>
      <c r="G75" s="199">
        <f>SUM(G62:G74)/13</f>
        <v>81282764.65754281</v>
      </c>
      <c r="H75" s="199">
        <f t="shared" ref="H75" si="21">SUM(H62:H74)/13</f>
        <v>4817729048.0639248</v>
      </c>
      <c r="I75" s="199">
        <f t="shared" ref="I75" si="22">SUM(I62:I74)/13</f>
        <v>31241437.778492268</v>
      </c>
      <c r="J75" s="199">
        <f t="shared" ref="J75" si="23">SUM(J62:J74)/13</f>
        <v>501566119.05444252</v>
      </c>
      <c r="K75" s="199">
        <f t="shared" ref="K75" si="24">SUM(K62:K74)/13</f>
        <v>2124397134.3291347</v>
      </c>
      <c r="L75" s="199">
        <f t="shared" ref="L75" si="25">SUM(L62:L74)/13</f>
        <v>1569664741.6287131</v>
      </c>
      <c r="M75" s="199">
        <f t="shared" ref="M75" si="26">SUM(M62:M74)/13</f>
        <v>167314793.83861548</v>
      </c>
      <c r="N75" s="199">
        <f t="shared" ref="N75" si="27">SUM(N62:N74)/13</f>
        <v>164944027.32218921</v>
      </c>
      <c r="O75" s="199">
        <f t="shared" ref="O75" si="28">SUM(O62:O74)/13</f>
        <v>98346178.274664462</v>
      </c>
      <c r="P75" s="353">
        <f t="shared" ref="P75" si="29">SUM(P62:P74)/13</f>
        <v>9917313986.3404255</v>
      </c>
      <c r="Q75" s="158"/>
      <c r="R75" s="131">
        <f t="shared" si="18"/>
        <v>313</v>
      </c>
    </row>
    <row r="76" spans="1:18">
      <c r="A76" s="131"/>
      <c r="B76" s="161"/>
      <c r="C76" s="161"/>
      <c r="D76" s="20"/>
      <c r="E76" s="20"/>
      <c r="F76" s="20"/>
      <c r="G76" s="20"/>
      <c r="H76" s="20"/>
      <c r="I76" s="20"/>
      <c r="J76" s="20"/>
      <c r="K76" s="20"/>
      <c r="L76" s="20"/>
      <c r="M76" s="20"/>
      <c r="N76" s="20"/>
      <c r="R76" s="131"/>
    </row>
    <row r="77" spans="1:18">
      <c r="A77" s="131"/>
      <c r="B77" s="161"/>
      <c r="C77" s="161"/>
      <c r="D77" s="20"/>
      <c r="E77" s="20"/>
      <c r="F77" s="20"/>
      <c r="G77" s="20"/>
      <c r="H77" s="20"/>
      <c r="I77" s="20"/>
      <c r="J77" s="20"/>
      <c r="K77" s="20"/>
      <c r="L77" s="20"/>
      <c r="M77" s="20"/>
      <c r="N77" s="20"/>
      <c r="R77" s="131"/>
    </row>
    <row r="78" spans="1:18">
      <c r="B78" s="57" t="s">
        <v>365</v>
      </c>
      <c r="C78" s="57"/>
      <c r="D78" s="144"/>
      <c r="E78" s="144"/>
      <c r="F78" s="144"/>
      <c r="G78" s="54"/>
      <c r="H78" s="144"/>
      <c r="I78" s="144"/>
      <c r="J78" s="144"/>
      <c r="K78" s="144"/>
      <c r="L78" s="144"/>
      <c r="M78" s="144"/>
      <c r="N78" s="54"/>
      <c r="O78" s="54"/>
      <c r="P78" s="54"/>
      <c r="Q78" s="54"/>
    </row>
    <row r="79" spans="1:18">
      <c r="B79" s="150" t="s">
        <v>1887</v>
      </c>
      <c r="C79" s="150"/>
      <c r="D79" s="150"/>
      <c r="E79" s="150"/>
      <c r="F79" s="150"/>
      <c r="G79" s="150"/>
      <c r="H79" s="150"/>
      <c r="I79" s="150"/>
      <c r="J79" s="150"/>
      <c r="K79" s="150"/>
      <c r="L79" s="150"/>
      <c r="M79" s="150"/>
      <c r="N79" s="150"/>
      <c r="O79" s="150"/>
      <c r="P79" s="150"/>
      <c r="Q79" s="150"/>
    </row>
    <row r="80" spans="1:18">
      <c r="B80" s="150"/>
      <c r="C80" s="150"/>
      <c r="D80" s="150"/>
      <c r="E80" s="150"/>
      <c r="F80" s="150"/>
      <c r="G80" s="150"/>
      <c r="H80" s="150"/>
      <c r="I80" s="150"/>
      <c r="J80" s="150"/>
      <c r="K80" s="150"/>
      <c r="L80" s="150"/>
      <c r="M80" s="150"/>
      <c r="N80" s="150"/>
      <c r="O80" s="150"/>
      <c r="P80" s="150"/>
      <c r="Q80" s="150"/>
    </row>
    <row r="81" spans="1:18">
      <c r="A81" s="8"/>
      <c r="D81" s="122" t="s">
        <v>100</v>
      </c>
      <c r="E81" s="122" t="s">
        <v>101</v>
      </c>
      <c r="F81" s="122" t="s">
        <v>102</v>
      </c>
      <c r="G81" s="122"/>
      <c r="H81" s="122"/>
      <c r="I81" s="122"/>
      <c r="J81" s="122"/>
      <c r="K81" s="122"/>
      <c r="L81" s="122"/>
      <c r="M81" s="122"/>
      <c r="N81" s="122"/>
      <c r="R81" s="131"/>
    </row>
    <row r="82" spans="1:18">
      <c r="B82" s="131"/>
      <c r="C82" s="131"/>
      <c r="D82" s="140" t="s">
        <v>366</v>
      </c>
      <c r="E82" s="153" t="s">
        <v>125</v>
      </c>
      <c r="F82" s="153" t="s">
        <v>125</v>
      </c>
      <c r="R82" s="131"/>
    </row>
    <row r="83" spans="1:18">
      <c r="B83" s="131"/>
      <c r="C83" s="131"/>
      <c r="D83" s="140"/>
      <c r="E83" s="122"/>
      <c r="R83" s="131"/>
    </row>
    <row r="84" spans="1:18">
      <c r="B84" s="131"/>
      <c r="C84" s="131"/>
      <c r="D84" s="123" t="s">
        <v>367</v>
      </c>
      <c r="E84" s="123" t="s">
        <v>368</v>
      </c>
      <c r="F84" s="123" t="s">
        <v>368</v>
      </c>
      <c r="R84" s="131"/>
    </row>
    <row r="85" spans="1:18">
      <c r="A85" s="119" t="s">
        <v>124</v>
      </c>
      <c r="B85" s="119" t="s">
        <v>82</v>
      </c>
      <c r="C85" s="119" t="s">
        <v>111</v>
      </c>
      <c r="D85" s="163" t="s">
        <v>369</v>
      </c>
      <c r="E85" s="163" t="s">
        <v>370</v>
      </c>
      <c r="F85" s="163" t="s">
        <v>371</v>
      </c>
      <c r="G85" s="122"/>
      <c r="H85" s="122"/>
      <c r="I85" s="122"/>
      <c r="J85" s="122"/>
      <c r="K85" s="122"/>
      <c r="L85" s="122"/>
      <c r="M85" s="122"/>
      <c r="N85" s="119"/>
      <c r="R85" s="119" t="str">
        <f>A85</f>
        <v>Line</v>
      </c>
    </row>
    <row r="86" spans="1:18">
      <c r="A86" s="131">
        <v>400</v>
      </c>
      <c r="B86" s="150" t="s">
        <v>113</v>
      </c>
      <c r="C86" s="156">
        <f>'1-BaseTRR'!$F$2-1</f>
        <v>2021</v>
      </c>
      <c r="D86" s="198">
        <f>+E86+F86</f>
        <v>985786308.14000034</v>
      </c>
      <c r="E86" s="468">
        <v>344220571.70387566</v>
      </c>
      <c r="F86" s="468">
        <v>641565736.43612468</v>
      </c>
      <c r="G86" s="164" t="s">
        <v>1398</v>
      </c>
      <c r="H86" s="164"/>
      <c r="I86" s="164"/>
      <c r="J86" s="164"/>
      <c r="K86" s="164"/>
      <c r="L86" s="164"/>
      <c r="M86" s="164"/>
      <c r="N86" s="20"/>
      <c r="R86" s="131">
        <f>A86</f>
        <v>400</v>
      </c>
    </row>
    <row r="87" spans="1:18">
      <c r="A87" s="131">
        <f>+A86+1</f>
        <v>401</v>
      </c>
      <c r="B87" s="159" t="s">
        <v>113</v>
      </c>
      <c r="C87" s="160">
        <f>'1-BaseTRR'!$F$2</f>
        <v>2022</v>
      </c>
      <c r="D87" s="467">
        <f>+E87+F87</f>
        <v>1090147067.3300004</v>
      </c>
      <c r="E87" s="469">
        <v>363266842.15335417</v>
      </c>
      <c r="F87" s="469">
        <v>726880225.17664623</v>
      </c>
      <c r="G87" s="164" t="s">
        <v>1399</v>
      </c>
      <c r="H87" s="165"/>
      <c r="I87" s="165"/>
      <c r="J87" s="165"/>
      <c r="K87" s="165"/>
      <c r="L87" s="165"/>
      <c r="M87" s="165"/>
      <c r="N87" s="165"/>
      <c r="R87" s="131">
        <f>A87</f>
        <v>401</v>
      </c>
    </row>
    <row r="88" spans="1:18">
      <c r="A88" s="131">
        <f t="shared" ref="A88" si="30">A87+1</f>
        <v>402</v>
      </c>
      <c r="B88" s="169" t="s">
        <v>372</v>
      </c>
      <c r="C88" s="169"/>
      <c r="D88" s="487">
        <f>AVERAGE(D86:D87)</f>
        <v>1037966687.7350004</v>
      </c>
      <c r="E88" s="487">
        <f t="shared" ref="E88:F88" si="31">AVERAGE(E86:E87)</f>
        <v>353743706.92861491</v>
      </c>
      <c r="F88" s="487">
        <f t="shared" si="31"/>
        <v>684222980.80638552</v>
      </c>
      <c r="G88" s="20" t="s">
        <v>1159</v>
      </c>
      <c r="H88" s="20"/>
      <c r="I88" s="20"/>
      <c r="J88" s="20"/>
      <c r="K88" s="20"/>
      <c r="L88" s="20"/>
      <c r="M88" s="20"/>
      <c r="N88" s="20"/>
      <c r="R88" s="131">
        <f>A88</f>
        <v>402</v>
      </c>
    </row>
    <row r="89" spans="1:18">
      <c r="A89" s="131"/>
      <c r="B89" s="161"/>
      <c r="C89" s="161"/>
      <c r="D89" s="20"/>
      <c r="E89" s="20"/>
      <c r="F89" s="20"/>
      <c r="G89" s="20"/>
      <c r="H89" s="20"/>
      <c r="I89" s="20"/>
      <c r="J89" s="20"/>
      <c r="K89" s="20"/>
      <c r="L89" s="20"/>
      <c r="M89" s="20"/>
      <c r="N89" s="20"/>
      <c r="R89" s="131"/>
    </row>
    <row r="90" spans="1:18">
      <c r="A90" s="131"/>
      <c r="B90" s="161"/>
      <c r="C90" s="161"/>
      <c r="D90" s="20"/>
      <c r="E90" s="20"/>
      <c r="F90" s="20"/>
      <c r="G90" s="20"/>
      <c r="H90" s="20"/>
      <c r="I90" s="20"/>
      <c r="J90" s="20"/>
      <c r="K90" s="20"/>
      <c r="L90" s="20"/>
      <c r="M90" s="20"/>
      <c r="N90" s="20"/>
      <c r="R90" s="131"/>
    </row>
    <row r="91" spans="1:18">
      <c r="B91" s="57" t="s">
        <v>373</v>
      </c>
      <c r="C91" s="57"/>
      <c r="D91" s="144"/>
      <c r="E91" s="144"/>
      <c r="F91" s="144"/>
      <c r="G91" s="144"/>
      <c r="H91" s="144"/>
      <c r="I91" s="54"/>
      <c r="J91" s="144"/>
      <c r="K91" s="144"/>
      <c r="L91" s="144"/>
      <c r="M91" s="144"/>
      <c r="N91" s="54"/>
      <c r="O91" s="54"/>
      <c r="P91" s="54"/>
      <c r="Q91" s="54"/>
    </row>
    <row r="92" spans="1:18">
      <c r="A92" s="27"/>
      <c r="B92" s="150" t="s">
        <v>1888</v>
      </c>
      <c r="C92" s="150"/>
      <c r="D92" s="150"/>
      <c r="E92" s="150"/>
      <c r="F92" s="150"/>
      <c r="G92" s="150"/>
      <c r="H92" s="150"/>
      <c r="I92" s="150"/>
      <c r="J92" s="150"/>
      <c r="K92" s="150"/>
      <c r="L92" s="150"/>
      <c r="M92" s="150"/>
      <c r="N92" s="150"/>
      <c r="O92" s="150"/>
      <c r="P92" s="150"/>
      <c r="Q92" s="150"/>
      <c r="R92" s="131"/>
    </row>
    <row r="93" spans="1:18">
      <c r="A93" s="27"/>
      <c r="B93" s="17"/>
      <c r="C93" s="17"/>
      <c r="D93" s="17"/>
      <c r="E93" s="17"/>
      <c r="F93" s="17"/>
      <c r="G93" s="17"/>
      <c r="H93" s="17"/>
      <c r="I93" s="17"/>
      <c r="J93" s="17"/>
      <c r="K93" s="17"/>
      <c r="L93" s="17"/>
      <c r="M93" s="17"/>
      <c r="R93" s="131"/>
    </row>
    <row r="94" spans="1:18">
      <c r="A94" s="8"/>
      <c r="D94" s="122" t="s">
        <v>100</v>
      </c>
      <c r="E94" s="122" t="s">
        <v>101</v>
      </c>
      <c r="F94" s="122" t="s">
        <v>102</v>
      </c>
      <c r="G94" s="122" t="s">
        <v>103</v>
      </c>
      <c r="H94" s="122" t="s">
        <v>104</v>
      </c>
      <c r="I94" s="122"/>
      <c r="J94" s="122"/>
      <c r="K94" s="122"/>
      <c r="L94" s="122"/>
      <c r="M94" s="122"/>
      <c r="N94" s="122"/>
      <c r="R94" s="131"/>
    </row>
    <row r="95" spans="1:18" ht="29">
      <c r="B95" s="131"/>
      <c r="C95" s="131"/>
      <c r="D95" s="153" t="s">
        <v>126</v>
      </c>
      <c r="E95" s="153" t="s">
        <v>1057</v>
      </c>
      <c r="F95" s="166" t="s">
        <v>374</v>
      </c>
      <c r="G95" s="153" t="s">
        <v>1059</v>
      </c>
      <c r="H95" s="153" t="s">
        <v>1060</v>
      </c>
      <c r="R95" s="131"/>
    </row>
    <row r="96" spans="1:18">
      <c r="B96" s="131"/>
      <c r="C96" s="131"/>
      <c r="D96" s="122"/>
      <c r="F96" s="140"/>
      <c r="G96" s="154"/>
      <c r="H96" s="154"/>
      <c r="R96" s="131"/>
    </row>
    <row r="97" spans="1:18">
      <c r="B97" s="131"/>
      <c r="C97" s="131"/>
      <c r="D97" s="123"/>
      <c r="E97" s="8" t="s">
        <v>375</v>
      </c>
      <c r="F97" s="8" t="s">
        <v>375</v>
      </c>
      <c r="G97" s="8"/>
      <c r="H97" s="167"/>
      <c r="R97" s="131"/>
    </row>
    <row r="98" spans="1:18">
      <c r="B98" s="131"/>
      <c r="C98" s="131"/>
      <c r="D98" s="123" t="s">
        <v>376</v>
      </c>
      <c r="E98" s="8" t="s">
        <v>190</v>
      </c>
      <c r="F98" s="8" t="s">
        <v>190</v>
      </c>
      <c r="G98" s="167" t="s">
        <v>370</v>
      </c>
      <c r="H98" s="167" t="s">
        <v>371</v>
      </c>
      <c r="R98" s="131"/>
    </row>
    <row r="99" spans="1:18">
      <c r="A99" s="119" t="s">
        <v>124</v>
      </c>
      <c r="B99" s="119" t="s">
        <v>82</v>
      </c>
      <c r="C99" s="119" t="s">
        <v>111</v>
      </c>
      <c r="D99" s="168" t="s">
        <v>377</v>
      </c>
      <c r="E99" s="168" t="s">
        <v>378</v>
      </c>
      <c r="F99" s="163" t="s">
        <v>379</v>
      </c>
      <c r="G99" s="163" t="s">
        <v>379</v>
      </c>
      <c r="H99" s="163" t="s">
        <v>379</v>
      </c>
      <c r="I99" s="122"/>
      <c r="J99" s="122"/>
      <c r="K99" s="122"/>
      <c r="L99" s="122"/>
      <c r="M99" s="122"/>
      <c r="N99" s="119"/>
      <c r="R99" s="119" t="str">
        <f>A99</f>
        <v>Line</v>
      </c>
    </row>
    <row r="100" spans="1:18">
      <c r="A100" s="131">
        <v>500</v>
      </c>
      <c r="B100" s="150" t="s">
        <v>113</v>
      </c>
      <c r="C100" s="156">
        <f>'1-BaseTRR'!$F$2-1</f>
        <v>2021</v>
      </c>
      <c r="D100" s="468">
        <v>3180271854.7399998</v>
      </c>
      <c r="E100" s="31">
        <f>'24-Allocators'!$C$24</f>
        <v>9.5754660785216397E-2</v>
      </c>
      <c r="F100" s="456">
        <f>+E100*D100</f>
        <v>304525852.65539968</v>
      </c>
      <c r="G100" s="471">
        <f>+F100*'24-Allocators'!$C$43</f>
        <v>104359215.50854592</v>
      </c>
      <c r="H100" s="471">
        <f>+F100*'24-Allocators'!$C$44</f>
        <v>200166637.14685374</v>
      </c>
      <c r="I100" s="164" t="s">
        <v>1400</v>
      </c>
      <c r="J100" s="164"/>
      <c r="K100" s="164"/>
      <c r="L100" s="164"/>
      <c r="M100" s="164"/>
      <c r="N100" s="20"/>
      <c r="R100" s="131">
        <f t="shared" ref="R100:R102" si="32">A100</f>
        <v>500</v>
      </c>
    </row>
    <row r="101" spans="1:18">
      <c r="A101" s="131">
        <f>+A100+1</f>
        <v>501</v>
      </c>
      <c r="B101" s="159" t="s">
        <v>113</v>
      </c>
      <c r="C101" s="160">
        <f>'1-BaseTRR'!$F$2</f>
        <v>2022</v>
      </c>
      <c r="D101" s="472">
        <v>3604255746.5999975</v>
      </c>
      <c r="E101" s="41">
        <f>'24-Allocators'!$C$24</f>
        <v>9.5754660785216397E-2</v>
      </c>
      <c r="F101" s="467">
        <f>+E101*D101</f>
        <v>345124286.39884961</v>
      </c>
      <c r="G101" s="467">
        <f>+F101*'24-Allocators'!$C$43</f>
        <v>118272059.55576868</v>
      </c>
      <c r="H101" s="467">
        <f>+F101*'24-Allocators'!$C$44</f>
        <v>226852226.84308091</v>
      </c>
      <c r="I101" s="164" t="s">
        <v>1401</v>
      </c>
      <c r="J101" s="165"/>
      <c r="K101" s="165"/>
      <c r="L101" s="165"/>
      <c r="M101" s="165"/>
      <c r="N101" s="165"/>
      <c r="R101" s="131">
        <f t="shared" si="32"/>
        <v>501</v>
      </c>
    </row>
    <row r="102" spans="1:18">
      <c r="A102" s="131">
        <f t="shared" ref="A102" si="33">A101+1</f>
        <v>502</v>
      </c>
      <c r="B102" s="169" t="s">
        <v>372</v>
      </c>
      <c r="C102" s="169"/>
      <c r="D102" s="487">
        <f>AVERAGE(D100:D101)</f>
        <v>3392263800.6699986</v>
      </c>
      <c r="E102" s="12"/>
      <c r="F102" s="487">
        <f>AVERAGE(F100:F101)</f>
        <v>324825069.52712464</v>
      </c>
      <c r="G102" s="487">
        <f t="shared" ref="G102:H102" si="34">AVERAGE(G100:G101)</f>
        <v>111315637.5321573</v>
      </c>
      <c r="H102" s="487">
        <f t="shared" si="34"/>
        <v>213509431.99496734</v>
      </c>
      <c r="I102" s="20" t="s">
        <v>1158</v>
      </c>
      <c r="J102" s="20"/>
      <c r="K102" s="20"/>
      <c r="L102" s="20"/>
      <c r="M102" s="20"/>
      <c r="N102" s="20"/>
      <c r="R102" s="131">
        <f t="shared" si="32"/>
        <v>502</v>
      </c>
    </row>
    <row r="103" spans="1:18">
      <c r="A103" s="131"/>
      <c r="B103" s="150"/>
      <c r="C103" s="150"/>
      <c r="D103" s="20"/>
      <c r="E103" s="20"/>
      <c r="F103" s="20"/>
      <c r="G103" s="20"/>
      <c r="H103" s="20"/>
      <c r="I103" s="20"/>
      <c r="J103" s="20"/>
      <c r="K103" s="20"/>
      <c r="L103" s="20"/>
      <c r="M103" s="20"/>
      <c r="N103" s="20"/>
      <c r="R103" s="131"/>
    </row>
    <row r="104" spans="1:18">
      <c r="A104" s="131"/>
      <c r="B104" s="150"/>
      <c r="C104" s="150"/>
      <c r="D104" s="20"/>
      <c r="E104" s="20"/>
      <c r="F104" s="20"/>
      <c r="G104" s="20"/>
      <c r="H104" s="20"/>
      <c r="I104" s="20"/>
      <c r="J104" s="20"/>
      <c r="K104" s="20"/>
      <c r="L104" s="20"/>
      <c r="M104" s="20"/>
      <c r="N104" s="20"/>
      <c r="R104" s="131"/>
    </row>
    <row r="105" spans="1:18">
      <c r="B105" s="57" t="s">
        <v>380</v>
      </c>
      <c r="C105" s="57"/>
      <c r="D105" s="144"/>
      <c r="E105" s="144"/>
      <c r="F105" s="144"/>
      <c r="G105" s="144"/>
      <c r="H105" s="144"/>
      <c r="I105" s="54"/>
      <c r="J105" s="59"/>
      <c r="K105" s="59"/>
      <c r="L105" s="59"/>
      <c r="M105" s="59"/>
      <c r="N105" s="59"/>
      <c r="O105" s="54"/>
      <c r="P105" s="54"/>
      <c r="Q105" s="54"/>
    </row>
    <row r="106" spans="1:18">
      <c r="A106" s="27"/>
      <c r="B106" s="150" t="s">
        <v>381</v>
      </c>
      <c r="C106" s="150"/>
      <c r="D106" s="150"/>
      <c r="E106" s="150"/>
      <c r="F106" s="150"/>
      <c r="G106" s="150"/>
      <c r="H106" s="150"/>
      <c r="I106" s="150"/>
      <c r="J106" s="150"/>
      <c r="K106" s="150"/>
      <c r="L106" s="150"/>
      <c r="M106" s="150"/>
      <c r="N106" s="150"/>
      <c r="O106" s="150"/>
      <c r="P106" s="150"/>
      <c r="Q106" s="150"/>
      <c r="R106" s="131"/>
    </row>
    <row r="107" spans="1:18">
      <c r="A107" s="27"/>
      <c r="B107" s="150"/>
      <c r="C107" s="150"/>
      <c r="D107" s="150"/>
      <c r="E107" s="150"/>
      <c r="F107" s="150"/>
      <c r="G107" s="150"/>
      <c r="H107" s="150"/>
      <c r="I107" s="150"/>
      <c r="J107" s="150"/>
      <c r="K107" s="150"/>
      <c r="L107" s="150"/>
      <c r="M107" s="150"/>
      <c r="N107" s="150"/>
      <c r="O107" s="150"/>
      <c r="P107" s="150"/>
      <c r="Q107" s="150"/>
      <c r="R107" s="131"/>
    </row>
    <row r="108" spans="1:18">
      <c r="A108" s="8"/>
      <c r="D108" s="122" t="s">
        <v>100</v>
      </c>
      <c r="E108" s="122" t="s">
        <v>101</v>
      </c>
      <c r="F108" s="122" t="s">
        <v>102</v>
      </c>
      <c r="G108" s="122" t="s">
        <v>103</v>
      </c>
      <c r="H108" s="122" t="s">
        <v>104</v>
      </c>
      <c r="I108" s="20"/>
      <c r="J108" s="20"/>
      <c r="K108" s="20"/>
      <c r="L108" s="20"/>
      <c r="M108" s="20"/>
      <c r="N108" s="20"/>
      <c r="R108" s="131"/>
    </row>
    <row r="109" spans="1:18" ht="29">
      <c r="B109" s="131"/>
      <c r="C109" s="131"/>
      <c r="D109" s="153" t="s">
        <v>169</v>
      </c>
      <c r="E109" s="153" t="s">
        <v>1058</v>
      </c>
      <c r="F109" s="166" t="s">
        <v>374</v>
      </c>
      <c r="G109" s="153" t="s">
        <v>1059</v>
      </c>
      <c r="H109" s="153" t="s">
        <v>1060</v>
      </c>
      <c r="I109" s="20"/>
      <c r="J109" s="20"/>
      <c r="K109" s="20"/>
      <c r="L109" s="20"/>
      <c r="M109" s="20"/>
      <c r="N109" s="20"/>
      <c r="R109" s="131"/>
    </row>
    <row r="110" spans="1:18">
      <c r="B110" s="131"/>
      <c r="C110" s="131"/>
      <c r="D110" s="122"/>
      <c r="F110" s="140"/>
      <c r="G110" s="154"/>
      <c r="H110" s="154"/>
      <c r="I110" s="20"/>
      <c r="J110" s="20"/>
      <c r="K110" s="20"/>
      <c r="L110" s="20"/>
      <c r="M110" s="20"/>
      <c r="N110" s="20"/>
      <c r="R110" s="131"/>
    </row>
    <row r="111" spans="1:18">
      <c r="B111" s="131"/>
      <c r="C111" s="131"/>
      <c r="D111" s="122"/>
      <c r="E111" s="8" t="s">
        <v>375</v>
      </c>
      <c r="F111" s="8" t="s">
        <v>375</v>
      </c>
      <c r="G111" s="8"/>
      <c r="H111" s="167"/>
      <c r="I111" s="20"/>
      <c r="J111" s="20"/>
      <c r="K111" s="20"/>
      <c r="L111" s="20"/>
      <c r="M111" s="20"/>
      <c r="N111" s="20"/>
      <c r="R111" s="131"/>
    </row>
    <row r="112" spans="1:18">
      <c r="B112" s="131"/>
      <c r="C112" s="131"/>
      <c r="D112" s="123" t="s">
        <v>382</v>
      </c>
      <c r="E112" s="8" t="s">
        <v>190</v>
      </c>
      <c r="F112" s="8" t="s">
        <v>190</v>
      </c>
      <c r="G112" s="167" t="s">
        <v>370</v>
      </c>
      <c r="H112" s="167" t="s">
        <v>371</v>
      </c>
      <c r="I112" s="20"/>
      <c r="J112" s="20"/>
      <c r="K112" s="20"/>
      <c r="L112" s="20"/>
      <c r="M112" s="20"/>
      <c r="N112" s="20"/>
      <c r="R112" s="131"/>
    </row>
    <row r="113" spans="1:18">
      <c r="A113" s="119" t="s">
        <v>124</v>
      </c>
      <c r="B113" s="119" t="s">
        <v>82</v>
      </c>
      <c r="C113" s="119" t="s">
        <v>111</v>
      </c>
      <c r="D113" s="168" t="s">
        <v>377</v>
      </c>
      <c r="E113" s="168" t="s">
        <v>378</v>
      </c>
      <c r="F113" s="163" t="s">
        <v>379</v>
      </c>
      <c r="G113" s="163" t="s">
        <v>379</v>
      </c>
      <c r="H113" s="163" t="s">
        <v>379</v>
      </c>
      <c r="I113" s="20"/>
      <c r="J113" s="20"/>
      <c r="K113" s="20"/>
      <c r="L113" s="20"/>
      <c r="M113" s="20"/>
      <c r="N113" s="20"/>
      <c r="R113" s="119" t="str">
        <f>A113</f>
        <v>Line</v>
      </c>
    </row>
    <row r="114" spans="1:18">
      <c r="A114" s="131">
        <v>600</v>
      </c>
      <c r="B114" s="150" t="s">
        <v>113</v>
      </c>
      <c r="C114" s="156">
        <f>'1-BaseTRR'!$F$2-1</f>
        <v>2021</v>
      </c>
      <c r="D114" s="468">
        <v>228511816.55000007</v>
      </c>
      <c r="E114" s="31">
        <f>'24-Allocators'!$C$23</f>
        <v>0.13539553206179952</v>
      </c>
      <c r="F114" s="198">
        <f>+D114*E114</f>
        <v>30939478.984195586</v>
      </c>
      <c r="G114" s="471">
        <f>+F114*'24-Allocators'!$C$43</f>
        <v>10602777.159571785</v>
      </c>
      <c r="H114" s="471">
        <f>+F114*'24-Allocators'!$C$44</f>
        <v>20336701.824623801</v>
      </c>
      <c r="I114" s="164" t="s">
        <v>1402</v>
      </c>
      <c r="J114" s="20"/>
      <c r="K114" s="20"/>
      <c r="L114" s="20"/>
      <c r="M114" s="20"/>
      <c r="N114" s="20"/>
      <c r="R114" s="131">
        <f t="shared" ref="R114:R116" si="35">A114</f>
        <v>600</v>
      </c>
    </row>
    <row r="115" spans="1:18">
      <c r="A115" s="131">
        <f>+A114+1</f>
        <v>601</v>
      </c>
      <c r="B115" s="159" t="s">
        <v>113</v>
      </c>
      <c r="C115" s="160">
        <f>'1-BaseTRR'!$F$2</f>
        <v>2022</v>
      </c>
      <c r="D115" s="472">
        <v>231726351.07000005</v>
      </c>
      <c r="E115" s="41">
        <f>'24-Allocators'!$C$23</f>
        <v>0.13539553206179952</v>
      </c>
      <c r="F115" s="467">
        <f>+D115*E115</f>
        <v>31374712.595862005</v>
      </c>
      <c r="G115" s="467">
        <f>+F115*'24-Allocators'!$C$43</f>
        <v>10751929.153993279</v>
      </c>
      <c r="H115" s="467">
        <f>+F115*'24-Allocators'!$C$44</f>
        <v>20622783.441868726</v>
      </c>
      <c r="I115" s="164" t="s">
        <v>1403</v>
      </c>
      <c r="J115" s="20"/>
      <c r="K115" s="20"/>
      <c r="L115" s="20"/>
      <c r="M115" s="20"/>
      <c r="N115" s="20"/>
      <c r="R115" s="131">
        <f t="shared" si="35"/>
        <v>601</v>
      </c>
    </row>
    <row r="116" spans="1:18">
      <c r="A116" s="131">
        <f t="shared" ref="A116" si="36">A115+1</f>
        <v>602</v>
      </c>
      <c r="B116" s="169" t="s">
        <v>372</v>
      </c>
      <c r="C116" s="169"/>
      <c r="D116" s="487">
        <f>AVERAGE(D114:D115)</f>
        <v>230119083.81000006</v>
      </c>
      <c r="E116" s="12"/>
      <c r="F116" s="487">
        <f>AVERAGE(F114:F115)</f>
        <v>31157095.790028796</v>
      </c>
      <c r="G116" s="487">
        <f t="shared" ref="G116:H116" si="37">AVERAGE(G114:G115)</f>
        <v>10677353.156782532</v>
      </c>
      <c r="H116" s="487">
        <f t="shared" si="37"/>
        <v>20479742.633246265</v>
      </c>
      <c r="I116" s="20" t="s">
        <v>1157</v>
      </c>
      <c r="J116" s="20"/>
      <c r="K116" s="20"/>
      <c r="L116" s="20"/>
      <c r="M116" s="20"/>
      <c r="N116" s="20"/>
      <c r="R116" s="131">
        <f t="shared" si="35"/>
        <v>602</v>
      </c>
    </row>
    <row r="117" spans="1:18">
      <c r="A117" s="131"/>
      <c r="B117" s="150"/>
      <c r="C117" s="150"/>
      <c r="D117" s="20"/>
      <c r="E117" s="20"/>
      <c r="F117" s="20"/>
      <c r="G117" s="20"/>
      <c r="H117" s="20"/>
      <c r="I117" s="20"/>
      <c r="J117" s="20"/>
      <c r="K117" s="20"/>
      <c r="L117" s="20"/>
      <c r="M117" s="20"/>
      <c r="N117" s="20"/>
      <c r="R117" s="131"/>
    </row>
    <row r="118" spans="1:18">
      <c r="A118" s="131"/>
      <c r="B118" s="150"/>
      <c r="C118" s="150"/>
      <c r="D118" s="20"/>
      <c r="E118" s="20"/>
      <c r="F118" s="20"/>
      <c r="G118" s="20"/>
      <c r="H118" s="20"/>
      <c r="I118" s="20"/>
      <c r="J118" s="20"/>
      <c r="K118" s="20"/>
      <c r="L118" s="20"/>
      <c r="M118" s="20"/>
      <c r="N118" s="20"/>
      <c r="R118" s="131"/>
    </row>
    <row r="119" spans="1:18">
      <c r="B119" s="57" t="s">
        <v>383</v>
      </c>
      <c r="C119" s="57"/>
      <c r="D119" s="144"/>
      <c r="E119" s="144"/>
      <c r="F119" s="144"/>
      <c r="G119" s="144"/>
      <c r="H119" s="144"/>
      <c r="I119" s="54"/>
      <c r="J119" s="54"/>
      <c r="K119" s="144"/>
      <c r="L119" s="144"/>
      <c r="M119" s="144"/>
      <c r="N119" s="54"/>
      <c r="O119" s="54"/>
      <c r="P119" s="54"/>
      <c r="Q119" s="54"/>
    </row>
    <row r="120" spans="1:18">
      <c r="A120" s="27"/>
      <c r="B120" s="150" t="s">
        <v>384</v>
      </c>
      <c r="C120" s="150"/>
      <c r="D120" s="150"/>
      <c r="E120" s="150"/>
      <c r="F120" s="150"/>
      <c r="G120" s="150"/>
      <c r="H120" s="150"/>
      <c r="I120" s="150"/>
      <c r="J120" s="150"/>
      <c r="K120" s="150"/>
      <c r="L120" s="150"/>
      <c r="M120" s="150"/>
      <c r="N120" s="150"/>
      <c r="O120" s="150"/>
      <c r="P120" s="150"/>
      <c r="Q120" s="150"/>
      <c r="R120" s="131"/>
    </row>
    <row r="121" spans="1:18">
      <c r="A121" s="27"/>
      <c r="C121" s="17"/>
      <c r="D121" s="17"/>
      <c r="E121" s="17"/>
      <c r="F121" s="17"/>
      <c r="G121" s="17"/>
      <c r="H121" s="17"/>
      <c r="I121" s="17"/>
      <c r="J121" s="17"/>
      <c r="K121" s="17"/>
      <c r="L121" s="17"/>
      <c r="M121" s="17"/>
      <c r="R121" s="131"/>
    </row>
    <row r="122" spans="1:18">
      <c r="A122" s="8"/>
      <c r="D122" s="122" t="s">
        <v>100</v>
      </c>
      <c r="E122" s="122" t="s">
        <v>101</v>
      </c>
      <c r="F122" s="122" t="s">
        <v>102</v>
      </c>
      <c r="G122" s="122"/>
      <c r="H122" s="122"/>
      <c r="I122" s="122"/>
      <c r="J122" s="122"/>
      <c r="K122" s="122"/>
      <c r="L122" s="122"/>
      <c r="M122" s="122"/>
      <c r="N122" s="122"/>
      <c r="R122" s="131"/>
    </row>
    <row r="123" spans="1:18" ht="29">
      <c r="B123" s="131"/>
      <c r="C123" s="131"/>
      <c r="D123" s="153" t="s">
        <v>385</v>
      </c>
      <c r="E123" s="153" t="s">
        <v>385</v>
      </c>
      <c r="F123" s="153" t="s">
        <v>385</v>
      </c>
      <c r="R123" s="131"/>
    </row>
    <row r="124" spans="1:18">
      <c r="B124" s="131"/>
      <c r="C124" s="131"/>
      <c r="D124" s="123"/>
      <c r="E124" s="122"/>
      <c r="R124" s="131"/>
    </row>
    <row r="125" spans="1:18">
      <c r="B125" s="131"/>
      <c r="C125" s="131"/>
      <c r="D125" s="8" t="s">
        <v>386</v>
      </c>
      <c r="E125" s="167" t="s">
        <v>387</v>
      </c>
      <c r="F125" s="167" t="s">
        <v>388</v>
      </c>
      <c r="R125" s="131"/>
    </row>
    <row r="126" spans="1:18">
      <c r="A126" s="119" t="s">
        <v>124</v>
      </c>
      <c r="B126" s="119" t="s">
        <v>82</v>
      </c>
      <c r="C126" s="119" t="s">
        <v>111</v>
      </c>
      <c r="D126" s="13" t="s">
        <v>389</v>
      </c>
      <c r="E126" s="163" t="s">
        <v>390</v>
      </c>
      <c r="F126" s="163" t="s">
        <v>390</v>
      </c>
      <c r="G126" s="122" t="s">
        <v>54</v>
      </c>
      <c r="H126" s="122"/>
      <c r="I126" s="122"/>
      <c r="J126" s="122"/>
      <c r="K126" s="122"/>
      <c r="L126" s="122"/>
      <c r="M126" s="122"/>
      <c r="N126" s="119"/>
      <c r="R126" s="119" t="str">
        <f>A126</f>
        <v>Line</v>
      </c>
    </row>
    <row r="127" spans="1:18">
      <c r="A127" s="131">
        <v>700</v>
      </c>
      <c r="B127" s="150" t="s">
        <v>113</v>
      </c>
      <c r="C127" s="156">
        <f>'1-BaseTRR'!$F$2-1</f>
        <v>2021</v>
      </c>
      <c r="D127" s="198">
        <f t="shared" ref="D127:F128" si="38">+D86+F100+F114</f>
        <v>1321251639.7795956</v>
      </c>
      <c r="E127" s="198">
        <f t="shared" si="38"/>
        <v>459182564.37199336</v>
      </c>
      <c r="F127" s="198">
        <f t="shared" si="38"/>
        <v>862069075.40760231</v>
      </c>
      <c r="G127" s="164" t="s">
        <v>1063</v>
      </c>
      <c r="H127" s="164"/>
      <c r="I127" s="164"/>
      <c r="J127" s="164"/>
      <c r="K127" s="164"/>
      <c r="L127" s="164"/>
      <c r="M127" s="164"/>
      <c r="N127" s="20"/>
      <c r="R127" s="131">
        <f t="shared" ref="R127:R129" si="39">A127</f>
        <v>700</v>
      </c>
    </row>
    <row r="128" spans="1:18">
      <c r="A128" s="131">
        <f>+A127+1</f>
        <v>701</v>
      </c>
      <c r="B128" s="159" t="s">
        <v>113</v>
      </c>
      <c r="C128" s="160">
        <f>'1-BaseTRR'!$F$2</f>
        <v>2022</v>
      </c>
      <c r="D128" s="467">
        <f t="shared" si="38"/>
        <v>1466646066.3247118</v>
      </c>
      <c r="E128" s="467">
        <f t="shared" si="38"/>
        <v>492290830.86311615</v>
      </c>
      <c r="F128" s="467">
        <f t="shared" si="38"/>
        <v>974355235.46159589</v>
      </c>
      <c r="G128" s="164" t="s">
        <v>1064</v>
      </c>
      <c r="H128" s="165"/>
      <c r="I128" s="165"/>
      <c r="J128" s="165"/>
      <c r="K128" s="165"/>
      <c r="L128" s="165"/>
      <c r="M128" s="165"/>
      <c r="N128" s="165"/>
      <c r="R128" s="131">
        <f t="shared" si="39"/>
        <v>701</v>
      </c>
    </row>
    <row r="129" spans="1:18">
      <c r="A129" s="131">
        <f t="shared" ref="A129" si="40">A128+1</f>
        <v>702</v>
      </c>
      <c r="B129" s="169" t="s">
        <v>372</v>
      </c>
      <c r="C129" s="169"/>
      <c r="D129" s="487">
        <f>AVERAGE(D127:D128)</f>
        <v>1393948853.0521536</v>
      </c>
      <c r="E129" s="487">
        <f t="shared" ref="E129:F129" si="41">AVERAGE(E127:E128)</f>
        <v>475736697.61755478</v>
      </c>
      <c r="F129" s="487">
        <f t="shared" si="41"/>
        <v>918212155.43459916</v>
      </c>
      <c r="G129" s="20" t="s">
        <v>1065</v>
      </c>
      <c r="H129" s="20"/>
      <c r="I129" s="20"/>
      <c r="J129" s="20"/>
      <c r="K129" s="20"/>
      <c r="L129" s="20"/>
      <c r="M129" s="20"/>
      <c r="N129" s="20"/>
      <c r="R129" s="131">
        <f t="shared" si="39"/>
        <v>702</v>
      </c>
    </row>
    <row r="130" spans="1:18">
      <c r="A130" s="131"/>
      <c r="B130" s="161"/>
      <c r="C130" s="161"/>
      <c r="D130" s="20"/>
      <c r="E130" s="20"/>
      <c r="F130" s="20"/>
      <c r="G130" s="20"/>
      <c r="H130" s="20"/>
      <c r="I130" s="20"/>
      <c r="J130" s="20"/>
      <c r="K130" s="20"/>
      <c r="L130" s="20"/>
      <c r="M130" s="20"/>
      <c r="N130" s="20"/>
    </row>
    <row r="131" spans="1:18">
      <c r="A131" s="131"/>
      <c r="C131" s="161"/>
      <c r="D131" s="20"/>
      <c r="E131" s="20"/>
      <c r="F131" s="20"/>
      <c r="G131" s="20"/>
      <c r="H131" s="20"/>
      <c r="I131" s="20"/>
      <c r="J131" s="20"/>
      <c r="K131" s="20"/>
      <c r="L131" s="20"/>
      <c r="M131" s="20"/>
      <c r="N131" s="20"/>
    </row>
    <row r="132" spans="1:18">
      <c r="B132" s="16" t="s">
        <v>127</v>
      </c>
      <c r="C132" s="169"/>
      <c r="D132" s="20"/>
      <c r="E132" s="20"/>
      <c r="F132" s="20"/>
      <c r="G132" s="20"/>
      <c r="H132" s="20"/>
      <c r="I132" s="20"/>
      <c r="J132" s="20"/>
      <c r="K132" s="20"/>
      <c r="L132" s="20"/>
      <c r="M132" s="20"/>
      <c r="N132" s="20"/>
    </row>
    <row r="133" spans="1:18" ht="15" customHeight="1">
      <c r="B133" s="414" t="s">
        <v>1881</v>
      </c>
      <c r="C133" s="414"/>
      <c r="D133" s="414"/>
      <c r="E133" s="414"/>
      <c r="F133" s="414"/>
      <c r="G133" s="414"/>
      <c r="H133" s="414"/>
      <c r="I133" s="414"/>
      <c r="J133" s="414"/>
      <c r="K133" s="414"/>
      <c r="L133" s="414"/>
      <c r="M133" s="414"/>
      <c r="N133" s="44"/>
      <c r="O133" s="44"/>
      <c r="P133" s="44"/>
      <c r="Q133" s="6"/>
    </row>
    <row r="134" spans="1:18">
      <c r="A134" s="131"/>
      <c r="B134" s="414" t="s">
        <v>1880</v>
      </c>
      <c r="C134" s="414"/>
      <c r="D134" s="414"/>
      <c r="E134" s="414"/>
      <c r="F134" s="414"/>
      <c r="G134" s="414"/>
      <c r="H134" s="414"/>
      <c r="I134" s="414"/>
      <c r="J134" s="414"/>
      <c r="K134" s="414"/>
      <c r="L134" s="414"/>
      <c r="M134" s="414"/>
      <c r="N134" s="122"/>
      <c r="O134" s="122"/>
    </row>
    <row r="135" spans="1:18">
      <c r="B135" s="414" t="s">
        <v>1879</v>
      </c>
      <c r="C135" s="414"/>
      <c r="D135" s="414"/>
      <c r="E135" s="414"/>
      <c r="F135" s="414"/>
      <c r="G135" s="414"/>
      <c r="H135" s="414"/>
      <c r="I135" s="414"/>
      <c r="J135" s="414"/>
      <c r="K135" s="414"/>
      <c r="L135" s="414"/>
      <c r="M135" s="414"/>
    </row>
    <row r="136" spans="1:18">
      <c r="B136" s="414" t="s">
        <v>1167</v>
      </c>
      <c r="C136" s="414"/>
      <c r="D136" s="414"/>
      <c r="E136" s="414"/>
      <c r="F136" s="414"/>
      <c r="G136" s="414"/>
      <c r="H136" s="414"/>
      <c r="I136" s="414"/>
      <c r="J136" s="414"/>
      <c r="K136" s="414"/>
      <c r="L136" s="414"/>
      <c r="M136" s="414"/>
    </row>
    <row r="137" spans="1:18">
      <c r="B137" s="131"/>
      <c r="C137" s="131"/>
      <c r="D137" s="20"/>
      <c r="E137" s="122"/>
      <c r="H137" s="17"/>
      <c r="I137" s="17"/>
      <c r="L137" s="17"/>
      <c r="M137" s="17"/>
    </row>
  </sheetData>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50" max="17" man="1"/>
    <brk id="102" max="17"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2"/>
  <sheetViews>
    <sheetView tabSelected="1" view="pageBreakPreview" zoomScale="55" zoomScaleNormal="90" zoomScaleSheetLayoutView="55" zoomScalePageLayoutView="85" workbookViewId="0">
      <selection activeCell="P108" sqref="P108"/>
    </sheetView>
  </sheetViews>
  <sheetFormatPr defaultColWidth="9.1796875" defaultRowHeight="14.5"/>
  <cols>
    <col min="1" max="1" width="6.7265625" style="170" bestFit="1" customWidth="1"/>
    <col min="2" max="2" width="66.26953125" style="69" customWidth="1"/>
    <col min="3" max="3" width="7.81640625" style="69" bestFit="1" customWidth="1"/>
    <col min="4" max="4" width="12.1796875" style="69" bestFit="1" customWidth="1"/>
    <col min="5" max="5" width="12.453125" style="69" bestFit="1" customWidth="1"/>
    <col min="6" max="7" width="12.54296875" style="69" bestFit="1" customWidth="1"/>
    <col min="8" max="8" width="12" style="170" bestFit="1" customWidth="1"/>
    <col min="9" max="9" width="12.54296875" style="170" bestFit="1" customWidth="1"/>
    <col min="10" max="10" width="11.81640625" style="69" bestFit="1" customWidth="1"/>
    <col min="11" max="11" width="14.81640625" style="69" bestFit="1" customWidth="1"/>
    <col min="12" max="12" width="25" style="69" bestFit="1" customWidth="1"/>
    <col min="13" max="13" width="12.1796875" style="69" bestFit="1" customWidth="1"/>
    <col min="14" max="14" width="15.7265625" style="69" bestFit="1" customWidth="1"/>
    <col min="15" max="15" width="15" style="69" bestFit="1" customWidth="1"/>
    <col min="16" max="16" width="14.81640625" style="69" bestFit="1" customWidth="1"/>
    <col min="17" max="17" width="4.7265625" style="69" bestFit="1" customWidth="1"/>
    <col min="18" max="16384" width="9.1796875" style="69"/>
  </cols>
  <sheetData>
    <row r="1" spans="1:17">
      <c r="B1" s="90" t="s">
        <v>391</v>
      </c>
      <c r="G1" s="143"/>
      <c r="H1" s="8"/>
      <c r="I1" s="8"/>
      <c r="P1" s="15" t="str">
        <f>CONCATENATE("Prior Year: ",'1-BaseTRR'!$F$2)</f>
        <v>Prior Year: 2022</v>
      </c>
    </row>
    <row r="2" spans="1:17">
      <c r="B2" s="117" t="s">
        <v>196</v>
      </c>
      <c r="C2" s="91"/>
      <c r="D2" s="91"/>
      <c r="H2" s="8"/>
      <c r="I2" s="8"/>
      <c r="J2" s="15"/>
    </row>
    <row r="3" spans="1:17">
      <c r="B3" s="69" t="s">
        <v>1464</v>
      </c>
      <c r="H3" s="69"/>
      <c r="I3" s="69"/>
    </row>
    <row r="5" spans="1:17">
      <c r="B5" s="171" t="s">
        <v>1418</v>
      </c>
      <c r="C5" s="171"/>
      <c r="D5" s="171"/>
      <c r="E5" s="172"/>
      <c r="F5" s="172"/>
      <c r="G5" s="172"/>
      <c r="H5" s="172"/>
      <c r="I5" s="172"/>
      <c r="J5" s="173"/>
      <c r="K5" s="172"/>
      <c r="L5" s="172"/>
      <c r="M5" s="172"/>
      <c r="N5" s="172"/>
      <c r="O5" s="172"/>
      <c r="P5" s="172"/>
      <c r="Q5" s="170"/>
    </row>
    <row r="6" spans="1:17">
      <c r="A6" s="30"/>
      <c r="E6" s="416"/>
      <c r="F6" s="416"/>
      <c r="G6" s="416"/>
      <c r="H6"/>
      <c r="I6"/>
      <c r="J6" s="174"/>
      <c r="K6"/>
      <c r="L6"/>
      <c r="M6"/>
      <c r="N6"/>
      <c r="O6"/>
      <c r="P6"/>
      <c r="Q6" s="30"/>
    </row>
    <row r="7" spans="1:17">
      <c r="A7" s="30"/>
      <c r="C7" s="174" t="s">
        <v>100</v>
      </c>
      <c r="D7" s="174" t="s">
        <v>101</v>
      </c>
      <c r="E7" s="174" t="s">
        <v>102</v>
      </c>
      <c r="F7" s="174" t="s">
        <v>103</v>
      </c>
      <c r="G7" s="174" t="s">
        <v>104</v>
      </c>
      <c r="H7" s="174" t="s">
        <v>105</v>
      </c>
      <c r="I7" s="174" t="s">
        <v>106</v>
      </c>
      <c r="J7" s="174" t="s">
        <v>107</v>
      </c>
      <c r="K7" s="174" t="s">
        <v>108</v>
      </c>
      <c r="L7" s="174" t="s">
        <v>271</v>
      </c>
      <c r="M7" s="174" t="s">
        <v>272</v>
      </c>
      <c r="N7" s="174" t="s">
        <v>273</v>
      </c>
      <c r="O7" s="174" t="s">
        <v>274</v>
      </c>
      <c r="P7" s="174" t="s">
        <v>275</v>
      </c>
      <c r="Q7" s="30"/>
    </row>
    <row r="8" spans="1:17">
      <c r="A8" s="30"/>
      <c r="C8" s="416"/>
      <c r="D8" s="416"/>
      <c r="E8" s="416"/>
      <c r="F8" s="416"/>
      <c r="G8" s="174"/>
      <c r="J8" s="170"/>
      <c r="K8" s="170" t="s">
        <v>1725</v>
      </c>
      <c r="L8" s="170" t="s">
        <v>1726</v>
      </c>
      <c r="M8" s="170" t="s">
        <v>1727</v>
      </c>
      <c r="N8" s="170" t="s">
        <v>1731</v>
      </c>
      <c r="O8" s="170"/>
      <c r="P8" s="170"/>
      <c r="Q8" s="30"/>
    </row>
    <row r="9" spans="1:17">
      <c r="A9" s="30"/>
      <c r="E9" s="416"/>
      <c r="F9" s="416"/>
      <c r="G9" s="416"/>
      <c r="H9"/>
      <c r="I9"/>
      <c r="J9" s="629"/>
      <c r="K9"/>
      <c r="L9"/>
      <c r="M9"/>
      <c r="N9"/>
      <c r="O9"/>
      <c r="P9"/>
      <c r="Q9" s="30"/>
    </row>
    <row r="10" spans="1:17">
      <c r="A10" s="30"/>
      <c r="D10" s="131" t="s">
        <v>1509</v>
      </c>
      <c r="E10" s="131" t="s">
        <v>1419</v>
      </c>
      <c r="F10" s="131" t="s">
        <v>208</v>
      </c>
      <c r="G10" s="131" t="s">
        <v>1164</v>
      </c>
      <c r="H10"/>
      <c r="I10" s="131" t="s">
        <v>134</v>
      </c>
      <c r="J10" s="569" t="s">
        <v>705</v>
      </c>
      <c r="K10" s="131" t="s">
        <v>1445</v>
      </c>
      <c r="L10"/>
      <c r="M10" s="569" t="s">
        <v>1462</v>
      </c>
      <c r="N10" s="8" t="s">
        <v>1461</v>
      </c>
      <c r="O10" s="131" t="s">
        <v>328</v>
      </c>
      <c r="P10" s="131" t="s">
        <v>1459</v>
      </c>
      <c r="Q10" s="30"/>
    </row>
    <row r="11" spans="1:17">
      <c r="A11" s="95" t="s">
        <v>124</v>
      </c>
      <c r="C11" s="95" t="s">
        <v>435</v>
      </c>
      <c r="D11" s="95" t="s">
        <v>1420</v>
      </c>
      <c r="E11" s="95" t="s">
        <v>1420</v>
      </c>
      <c r="F11" s="119" t="s">
        <v>1165</v>
      </c>
      <c r="G11" s="119" t="s">
        <v>208</v>
      </c>
      <c r="H11" s="95" t="s">
        <v>1421</v>
      </c>
      <c r="I11" s="95" t="s">
        <v>208</v>
      </c>
      <c r="J11" s="95" t="s">
        <v>143</v>
      </c>
      <c r="K11" s="95" t="s">
        <v>143</v>
      </c>
      <c r="L11" s="95" t="s">
        <v>1362</v>
      </c>
      <c r="M11" s="13" t="s">
        <v>1444</v>
      </c>
      <c r="N11" s="13" t="s">
        <v>1444</v>
      </c>
      <c r="O11" s="253" t="s">
        <v>1166</v>
      </c>
      <c r="P11" s="253" t="s">
        <v>1460</v>
      </c>
      <c r="Q11" s="95" t="str">
        <f>A11</f>
        <v>Line</v>
      </c>
    </row>
    <row r="12" spans="1:17">
      <c r="A12" s="76">
        <v>100</v>
      </c>
      <c r="B12" s="69" t="s">
        <v>1705</v>
      </c>
      <c r="C12" s="170" t="s">
        <v>387</v>
      </c>
      <c r="D12" s="473">
        <f ca="1">SUMIF($C$17:$P18,$C12,D$17:D$18)</f>
        <v>0</v>
      </c>
      <c r="E12" s="473">
        <f ca="1">SUMIF($C$17:$P18,$C12,E$17:E$18)</f>
        <v>0</v>
      </c>
      <c r="F12" s="209"/>
      <c r="G12" s="209"/>
      <c r="H12" s="473">
        <f ca="1">SUMIF($C$17:$P18,$C12,H$17:H$18)</f>
        <v>0</v>
      </c>
      <c r="I12" s="473">
        <f ca="1">SUMIF($C$17:$P18,$C12,I$17:I$18)</f>
        <v>0</v>
      </c>
      <c r="J12" s="473">
        <f ca="1">SUMIF($C$17:$P18,$C12,J$17:J$18)</f>
        <v>0</v>
      </c>
      <c r="K12" s="473">
        <f ca="1">SUMIF($C$17:$P18,$C12,K$17:K$18)</f>
        <v>0</v>
      </c>
      <c r="L12" s="473">
        <f ca="1">SUMIF($C$17:$P18,$C12,L$17:L$18)</f>
        <v>0</v>
      </c>
      <c r="M12" s="473">
        <f ca="1">SUMIF($C$17:$P18,$C12,M$17:M$18)</f>
        <v>0</v>
      </c>
      <c r="N12" s="473">
        <f ca="1">SUMIF($C$17:$P18,$C12,N$17:N$18)</f>
        <v>0</v>
      </c>
      <c r="O12" s="209"/>
      <c r="P12" s="209"/>
      <c r="Q12" s="76">
        <f>A12</f>
        <v>100</v>
      </c>
    </row>
    <row r="13" spans="1:17">
      <c r="A13" s="76">
        <f>A12+1</f>
        <v>101</v>
      </c>
      <c r="B13" s="559" t="s">
        <v>1706</v>
      </c>
      <c r="C13" s="560" t="s">
        <v>388</v>
      </c>
      <c r="D13" s="561">
        <f ca="1">SUMIF($C$17:$P18,$C13,D$17:D$18)</f>
        <v>0</v>
      </c>
      <c r="E13" s="561">
        <f ca="1">SUMIF($C$17:$P18,$C13,E$17:E$18)</f>
        <v>0</v>
      </c>
      <c r="F13" s="562"/>
      <c r="G13" s="562"/>
      <c r="H13" s="561">
        <f ca="1">SUMIF($C$17:$P18,$C13,H$17:H$18)</f>
        <v>0</v>
      </c>
      <c r="I13" s="561">
        <f ca="1">SUMIF($C$17:$P18,$C13,I$17:I$18)</f>
        <v>0</v>
      </c>
      <c r="J13" s="561">
        <f ca="1">SUMIF($C$17:$P18,$C13,J$17:J$18)</f>
        <v>0</v>
      </c>
      <c r="K13" s="561">
        <f ca="1">SUMIF($C$17:$P18,$C13,K$17:K$18)</f>
        <v>0</v>
      </c>
      <c r="L13" s="561">
        <f ca="1">SUMIF($C$17:$P18,$C13,L$17:L$18)</f>
        <v>0</v>
      </c>
      <c r="M13" s="561">
        <f ca="1">SUMIF($C$17:$P18,$C13,M$17:M$18)</f>
        <v>0</v>
      </c>
      <c r="N13" s="561">
        <f ca="1">SUMIF($C$17:$P18,$C13,N$17:N$18)</f>
        <v>0</v>
      </c>
      <c r="O13" s="562"/>
      <c r="P13" s="562"/>
      <c r="Q13" s="76">
        <f>A13</f>
        <v>101</v>
      </c>
    </row>
    <row r="14" spans="1:17">
      <c r="A14" s="76">
        <f t="shared" ref="A14" si="0">A13+1</f>
        <v>102</v>
      </c>
      <c r="B14" s="3" t="s">
        <v>1298</v>
      </c>
      <c r="C14" s="3"/>
      <c r="D14" s="3"/>
      <c r="E14" s="473">
        <f ca="1">E12+E13</f>
        <v>0</v>
      </c>
      <c r="F14" s="473"/>
      <c r="G14" s="473"/>
      <c r="H14" s="473">
        <f t="shared" ref="H14:N14" ca="1" si="1">H12+H13</f>
        <v>0</v>
      </c>
      <c r="I14" s="473">
        <f t="shared" ca="1" si="1"/>
        <v>0</v>
      </c>
      <c r="J14" s="473">
        <f t="shared" ca="1" si="1"/>
        <v>0</v>
      </c>
      <c r="K14" s="473">
        <f t="shared" ca="1" si="1"/>
        <v>0</v>
      </c>
      <c r="L14" s="473">
        <f t="shared" ca="1" si="1"/>
        <v>0</v>
      </c>
      <c r="M14" s="473">
        <f t="shared" ca="1" si="1"/>
        <v>0</v>
      </c>
      <c r="N14" s="473">
        <f t="shared" ca="1" si="1"/>
        <v>0</v>
      </c>
      <c r="O14" s="473"/>
      <c r="P14"/>
      <c r="Q14" s="76">
        <f>A14</f>
        <v>102</v>
      </c>
    </row>
    <row r="15" spans="1:17">
      <c r="A15" s="95"/>
      <c r="C15" s="95"/>
      <c r="D15" s="95"/>
      <c r="E15" s="95"/>
      <c r="F15" s="119"/>
      <c r="G15" s="119"/>
      <c r="H15" s="95"/>
      <c r="I15" s="95"/>
      <c r="J15" s="95"/>
      <c r="K15" s="95"/>
      <c r="L15" s="95"/>
      <c r="M15" s="95"/>
      <c r="N15" s="13"/>
      <c r="O15" s="253"/>
      <c r="P15" s="253"/>
      <c r="Q15" s="95"/>
    </row>
    <row r="16" spans="1:17">
      <c r="A16" s="95"/>
      <c r="C16" s="95"/>
      <c r="D16" s="95"/>
      <c r="E16" s="95"/>
      <c r="F16" s="119"/>
      <c r="G16" s="119"/>
      <c r="H16" s="95"/>
      <c r="I16" s="95"/>
      <c r="J16" s="95"/>
      <c r="K16" s="95"/>
      <c r="L16" s="95"/>
      <c r="M16" s="95"/>
      <c r="N16" s="13"/>
      <c r="O16" s="253"/>
      <c r="P16" s="253"/>
      <c r="Q16" s="95"/>
    </row>
    <row r="17" spans="1:17">
      <c r="A17" s="76">
        <f>A14+1</f>
        <v>103</v>
      </c>
      <c r="B17" s="2"/>
      <c r="C17" s="126"/>
      <c r="D17" s="619"/>
      <c r="E17" s="444"/>
      <c r="F17" s="126"/>
      <c r="G17" s="571"/>
      <c r="H17" s="444"/>
      <c r="I17" s="444"/>
      <c r="J17" s="444"/>
      <c r="K17" s="473">
        <f>(H17+J17)/2</f>
        <v>0</v>
      </c>
      <c r="L17" s="473">
        <f>K17*'1-BaseTRR'!$D$99</f>
        <v>0</v>
      </c>
      <c r="M17" s="473">
        <f>J17-L17</f>
        <v>0</v>
      </c>
      <c r="N17" s="473">
        <f t="shared" ref="N17" si="2">K17-L17</f>
        <v>0</v>
      </c>
      <c r="O17" s="126"/>
      <c r="P17" s="126"/>
      <c r="Q17" s="76">
        <f t="shared" ref="Q17:Q18" si="3">A17</f>
        <v>103</v>
      </c>
    </row>
    <row r="18" spans="1:17">
      <c r="A18" s="76">
        <f>A17+1</f>
        <v>104</v>
      </c>
      <c r="B18" s="414" t="s">
        <v>1167</v>
      </c>
      <c r="C18" s="126"/>
      <c r="D18" s="619"/>
      <c r="E18" s="444"/>
      <c r="F18" s="126"/>
      <c r="G18" s="571"/>
      <c r="H18" s="444"/>
      <c r="I18" s="444"/>
      <c r="J18" s="444"/>
      <c r="K18" s="473"/>
      <c r="L18" s="473"/>
      <c r="M18" s="473"/>
      <c r="N18" s="473"/>
      <c r="O18" s="126"/>
      <c r="P18" s="126"/>
      <c r="Q18" s="76">
        <f t="shared" si="3"/>
        <v>104</v>
      </c>
    </row>
    <row r="19" spans="1:17">
      <c r="H19" s="69"/>
      <c r="I19" s="69"/>
      <c r="K19" s="473"/>
      <c r="L19" s="473"/>
      <c r="M19" s="473"/>
      <c r="N19" s="473"/>
      <c r="Q19" s="170"/>
    </row>
    <row r="20" spans="1:17">
      <c r="B20" s="16" t="s">
        <v>127</v>
      </c>
      <c r="H20" s="69"/>
      <c r="I20" s="69"/>
      <c r="K20" s="473"/>
      <c r="L20" s="473"/>
      <c r="M20" s="473"/>
      <c r="N20" s="473"/>
    </row>
    <row r="21" spans="1:17">
      <c r="B21" s="818" t="s">
        <v>1873</v>
      </c>
      <c r="C21" s="818"/>
      <c r="D21" s="818"/>
      <c r="E21" s="818"/>
      <c r="F21" s="818"/>
      <c r="G21" s="818"/>
      <c r="H21" s="818"/>
      <c r="I21" s="818"/>
      <c r="J21" s="818"/>
      <c r="K21" s="818"/>
      <c r="L21" s="818"/>
      <c r="M21" s="818"/>
      <c r="N21" s="818"/>
      <c r="O21" s="818"/>
      <c r="P21" s="818"/>
    </row>
    <row r="22" spans="1:17">
      <c r="B22" s="818" t="s">
        <v>640</v>
      </c>
      <c r="C22" s="818"/>
      <c r="D22" s="818"/>
      <c r="E22" s="818"/>
      <c r="F22" s="818"/>
      <c r="G22" s="818"/>
      <c r="H22" s="818"/>
      <c r="I22" s="818"/>
      <c r="J22" s="818"/>
      <c r="K22" s="818"/>
      <c r="L22" s="818"/>
      <c r="M22" s="818"/>
      <c r="N22" s="818"/>
      <c r="O22" s="818"/>
      <c r="P22" s="818"/>
    </row>
  </sheetData>
  <mergeCells count="2">
    <mergeCell ref="B22:P22"/>
    <mergeCell ref="B21:P21"/>
  </mergeCells>
  <printOptions horizontalCentered="1"/>
  <pageMargins left="1" right="1" top="1" bottom="1" header="0.5" footer="0.5"/>
  <pageSetup scale="43"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128"/>
  <sheetViews>
    <sheetView tabSelected="1" view="pageBreakPreview" topLeftCell="E35" zoomScale="55" zoomScaleNormal="75" zoomScaleSheetLayoutView="55" zoomScalePageLayoutView="85" workbookViewId="0">
      <selection activeCell="P108" sqref="P108"/>
    </sheetView>
  </sheetViews>
  <sheetFormatPr defaultColWidth="9.1796875" defaultRowHeight="14.5"/>
  <cols>
    <col min="1" max="1" width="5.26953125" style="176" customWidth="1"/>
    <col min="2" max="2" width="15.453125" style="176" customWidth="1"/>
    <col min="3" max="3" width="18.1796875" style="176" bestFit="1" customWidth="1"/>
    <col min="4" max="4" width="29" style="176" customWidth="1"/>
    <col min="5" max="5" width="18.81640625" style="176" customWidth="1"/>
    <col min="6" max="6" width="28.453125" style="176" bestFit="1" customWidth="1"/>
    <col min="7" max="7" width="18.81640625" style="176" customWidth="1"/>
    <col min="8" max="8" width="24.453125" style="176" bestFit="1" customWidth="1"/>
    <col min="9" max="9" width="18.81640625" style="176" customWidth="1"/>
    <col min="10" max="10" width="5.7265625" style="178" customWidth="1"/>
    <col min="11" max="12" width="15.54296875" style="176" customWidth="1"/>
    <col min="13" max="14" width="18.54296875" style="176" customWidth="1"/>
    <col min="15" max="27" width="15.54296875" style="176" customWidth="1"/>
    <col min="28" max="16384" width="9.1796875" style="176"/>
  </cols>
  <sheetData>
    <row r="1" spans="1:22">
      <c r="B1" s="177" t="s">
        <v>392</v>
      </c>
      <c r="F1" s="143"/>
      <c r="G1" s="78"/>
      <c r="H1" s="8"/>
      <c r="I1" s="15" t="str">
        <f>CONCATENATE("Prior Year: ",'1-BaseTRR'!$F$2)</f>
        <v>Prior Year: 2022</v>
      </c>
    </row>
    <row r="2" spans="1:22">
      <c r="B2" s="117" t="s">
        <v>196</v>
      </c>
      <c r="C2" s="117"/>
      <c r="G2" s="78"/>
      <c r="H2" s="15"/>
      <c r="I2" s="8"/>
    </row>
    <row r="3" spans="1:22">
      <c r="B3" s="142"/>
    </row>
    <row r="4" spans="1:22">
      <c r="B4" s="176" t="s">
        <v>1904</v>
      </c>
    </row>
    <row r="5" spans="1:22">
      <c r="B5" s="176" t="s">
        <v>393</v>
      </c>
    </row>
    <row r="7" spans="1:22">
      <c r="B7" s="179" t="s">
        <v>394</v>
      </c>
      <c r="C7" s="180"/>
      <c r="D7" s="180"/>
      <c r="E7" s="180"/>
      <c r="F7" s="180"/>
      <c r="G7" s="180"/>
      <c r="H7" s="180"/>
      <c r="I7" s="180"/>
    </row>
    <row r="8" spans="1:22">
      <c r="B8" s="176" t="s">
        <v>395</v>
      </c>
    </row>
    <row r="9" spans="1:22">
      <c r="B9" s="181"/>
    </row>
    <row r="10" spans="1:22">
      <c r="D10" s="174" t="s">
        <v>100</v>
      </c>
      <c r="E10" s="174" t="s">
        <v>101</v>
      </c>
      <c r="F10" s="174" t="s">
        <v>102</v>
      </c>
      <c r="G10" s="174" t="s">
        <v>103</v>
      </c>
      <c r="H10" s="174" t="s">
        <v>104</v>
      </c>
      <c r="I10" s="174" t="s">
        <v>105</v>
      </c>
      <c r="J10" s="1"/>
      <c r="M10" s="182"/>
      <c r="N10" s="182"/>
      <c r="O10" s="182"/>
      <c r="P10" s="182"/>
      <c r="Q10" s="182"/>
      <c r="R10" s="182"/>
      <c r="S10" s="182"/>
      <c r="T10" s="182"/>
      <c r="U10" s="182"/>
      <c r="V10" s="182"/>
    </row>
    <row r="11" spans="1:22" ht="29">
      <c r="D11" s="175" t="s">
        <v>396</v>
      </c>
      <c r="E11" s="175" t="s">
        <v>396</v>
      </c>
      <c r="F11" s="175" t="s">
        <v>396</v>
      </c>
      <c r="G11" s="175" t="s">
        <v>396</v>
      </c>
      <c r="H11" s="175" t="s">
        <v>396</v>
      </c>
      <c r="I11" s="175" t="s">
        <v>396</v>
      </c>
      <c r="J11" s="1"/>
    </row>
    <row r="12" spans="1:22">
      <c r="E12" s="1"/>
      <c r="F12" s="1"/>
      <c r="G12" s="1"/>
      <c r="H12" s="1"/>
      <c r="J12" s="1"/>
      <c r="M12" s="1"/>
      <c r="N12" s="1"/>
      <c r="O12" s="1"/>
      <c r="P12" s="1"/>
      <c r="Q12" s="1"/>
      <c r="R12" s="1"/>
      <c r="S12" s="1"/>
      <c r="T12" s="1"/>
      <c r="U12" s="1"/>
      <c r="V12" s="1"/>
    </row>
    <row r="13" spans="1:22">
      <c r="B13" s="819" t="s">
        <v>397</v>
      </c>
      <c r="C13" s="819"/>
      <c r="D13" s="1" t="s">
        <v>398</v>
      </c>
      <c r="E13" s="1" t="s">
        <v>399</v>
      </c>
      <c r="F13" s="1" t="s">
        <v>400</v>
      </c>
      <c r="G13" s="1" t="s">
        <v>401</v>
      </c>
      <c r="H13" s="1" t="s">
        <v>399</v>
      </c>
      <c r="I13" s="1" t="s">
        <v>402</v>
      </c>
      <c r="J13" s="1"/>
      <c r="M13" s="1"/>
      <c r="N13" s="1"/>
      <c r="O13" s="1"/>
      <c r="P13" s="1"/>
      <c r="Q13" s="1"/>
      <c r="R13" s="1"/>
      <c r="S13" s="1"/>
      <c r="T13" s="1"/>
      <c r="U13" s="1"/>
      <c r="V13" s="1"/>
    </row>
    <row r="14" spans="1:22">
      <c r="A14" s="182" t="s">
        <v>124</v>
      </c>
      <c r="B14" s="182" t="s">
        <v>82</v>
      </c>
      <c r="C14" s="182" t="s">
        <v>111</v>
      </c>
      <c r="D14" s="182" t="s">
        <v>403</v>
      </c>
      <c r="E14" s="182" t="s">
        <v>404</v>
      </c>
      <c r="F14" s="182" t="s">
        <v>405</v>
      </c>
      <c r="G14" s="182" t="s">
        <v>406</v>
      </c>
      <c r="H14" s="182" t="s">
        <v>407</v>
      </c>
      <c r="I14" s="182" t="s">
        <v>408</v>
      </c>
      <c r="J14" s="182" t="str">
        <f>A14</f>
        <v>Line</v>
      </c>
      <c r="M14" s="182"/>
      <c r="N14" s="182"/>
      <c r="O14" s="182"/>
      <c r="P14" s="182"/>
      <c r="Q14" s="182"/>
      <c r="R14" s="182"/>
      <c r="S14" s="182"/>
      <c r="T14" s="182"/>
      <c r="U14" s="182"/>
      <c r="V14" s="182"/>
    </row>
    <row r="15" spans="1:22">
      <c r="A15" s="1">
        <v>100</v>
      </c>
      <c r="B15" s="176" t="str">
        <f t="shared" ref="B15:B38" si="0">B52</f>
        <v>January</v>
      </c>
      <c r="C15" s="156">
        <f>'1-BaseTRR'!$F$2+1</f>
        <v>2023</v>
      </c>
      <c r="D15" s="198">
        <f t="shared" ref="D15:I30" si="1">D52+D88</f>
        <v>55340744.102750301</v>
      </c>
      <c r="E15" s="198">
        <f t="shared" si="1"/>
        <v>55340744.102750301</v>
      </c>
      <c r="F15" s="198">
        <f t="shared" si="1"/>
        <v>132107.84614753231</v>
      </c>
      <c r="G15" s="198">
        <f t="shared" si="1"/>
        <v>5067068.2120023929</v>
      </c>
      <c r="H15" s="198">
        <f t="shared" si="1"/>
        <v>-4934960.3658548612</v>
      </c>
      <c r="I15" s="198">
        <f t="shared" si="1"/>
        <v>60275704.468605161</v>
      </c>
      <c r="J15" s="1">
        <f>A15</f>
        <v>100</v>
      </c>
      <c r="M15" s="28"/>
      <c r="N15" s="183"/>
      <c r="O15" s="183"/>
      <c r="P15" s="183"/>
      <c r="Q15" s="183"/>
      <c r="R15" s="183"/>
      <c r="S15" s="183"/>
      <c r="T15" s="183"/>
      <c r="U15" s="183"/>
      <c r="V15" s="183"/>
    </row>
    <row r="16" spans="1:22">
      <c r="A16" s="1">
        <f>A15+1</f>
        <v>101</v>
      </c>
      <c r="B16" s="176" t="str">
        <f t="shared" si="0"/>
        <v>February</v>
      </c>
      <c r="C16" s="156">
        <f>'1-BaseTRR'!$F$2+1</f>
        <v>2023</v>
      </c>
      <c r="D16" s="198">
        <f t="shared" si="1"/>
        <v>69352119.224187255</v>
      </c>
      <c r="E16" s="198">
        <f t="shared" si="1"/>
        <v>124692863.32693756</v>
      </c>
      <c r="F16" s="198">
        <f t="shared" si="1"/>
        <v>297663.24741686444</v>
      </c>
      <c r="G16" s="198">
        <f t="shared" si="1"/>
        <v>6800480.5096731782</v>
      </c>
      <c r="H16" s="198">
        <f t="shared" si="1"/>
        <v>-11437777.628111174</v>
      </c>
      <c r="I16" s="198">
        <f t="shared" si="1"/>
        <v>136130640.95504874</v>
      </c>
      <c r="J16" s="1">
        <f t="shared" ref="J16:J39" si="2">A16</f>
        <v>101</v>
      </c>
      <c r="M16" s="28"/>
      <c r="N16" s="183"/>
      <c r="O16" s="183"/>
      <c r="P16" s="183"/>
      <c r="Q16" s="183"/>
      <c r="R16" s="183"/>
      <c r="S16" s="183"/>
      <c r="T16" s="183"/>
      <c r="U16" s="183"/>
      <c r="V16" s="183"/>
    </row>
    <row r="17" spans="1:22">
      <c r="A17" s="1">
        <f t="shared" ref="A17:A39" si="3">A16+1</f>
        <v>102</v>
      </c>
      <c r="B17" s="176" t="str">
        <f t="shared" si="0"/>
        <v>March</v>
      </c>
      <c r="C17" s="156">
        <f>'1-BaseTRR'!$F$2+1</f>
        <v>2023</v>
      </c>
      <c r="D17" s="198">
        <f t="shared" si="1"/>
        <v>84168508.657962263</v>
      </c>
      <c r="E17" s="198">
        <f t="shared" si="1"/>
        <v>208861371.98489982</v>
      </c>
      <c r="F17" s="198">
        <f t="shared" si="1"/>
        <v>498587.9110174884</v>
      </c>
      <c r="G17" s="198">
        <f t="shared" si="1"/>
        <v>4979071.2928128196</v>
      </c>
      <c r="H17" s="198">
        <f t="shared" si="1"/>
        <v>-15918261.009906504</v>
      </c>
      <c r="I17" s="198">
        <f t="shared" si="1"/>
        <v>224779632.99480635</v>
      </c>
      <c r="J17" s="1">
        <f t="shared" si="2"/>
        <v>102</v>
      </c>
      <c r="M17" s="28"/>
      <c r="N17" s="183"/>
      <c r="O17" s="183"/>
      <c r="P17" s="183"/>
      <c r="Q17" s="183"/>
      <c r="R17" s="183"/>
      <c r="S17" s="183"/>
      <c r="T17" s="183"/>
      <c r="U17" s="183"/>
      <c r="V17" s="183"/>
    </row>
    <row r="18" spans="1:22">
      <c r="A18" s="1">
        <f t="shared" si="3"/>
        <v>103</v>
      </c>
      <c r="B18" s="176" t="str">
        <f t="shared" si="0"/>
        <v>April</v>
      </c>
      <c r="C18" s="156">
        <f>'1-BaseTRR'!$F$2+1</f>
        <v>2023</v>
      </c>
      <c r="D18" s="198">
        <f t="shared" si="1"/>
        <v>195584190.89286771</v>
      </c>
      <c r="E18" s="198">
        <f t="shared" si="1"/>
        <v>404445562.87776756</v>
      </c>
      <c r="F18" s="198">
        <f t="shared" si="1"/>
        <v>965480.91396286199</v>
      </c>
      <c r="G18" s="198">
        <f t="shared" si="1"/>
        <v>6353928.2057424672</v>
      </c>
      <c r="H18" s="198">
        <f t="shared" si="1"/>
        <v>-21306708.301686108</v>
      </c>
      <c r="I18" s="198">
        <f t="shared" si="1"/>
        <v>425752271.17945361</v>
      </c>
      <c r="J18" s="1">
        <f t="shared" si="2"/>
        <v>103</v>
      </c>
      <c r="M18" s="28"/>
      <c r="N18" s="183"/>
      <c r="O18" s="183"/>
      <c r="P18" s="183"/>
      <c r="Q18" s="183"/>
      <c r="R18" s="183"/>
      <c r="S18" s="183"/>
      <c r="T18" s="183"/>
      <c r="U18" s="183"/>
      <c r="V18" s="183"/>
    </row>
    <row r="19" spans="1:22">
      <c r="A19" s="1">
        <f t="shared" si="3"/>
        <v>104</v>
      </c>
      <c r="B19" s="176" t="str">
        <f t="shared" si="0"/>
        <v>May</v>
      </c>
      <c r="C19" s="156">
        <f>'1-BaseTRR'!$F$2+1</f>
        <v>2023</v>
      </c>
      <c r="D19" s="198">
        <f t="shared" si="1"/>
        <v>122601960.12913752</v>
      </c>
      <c r="E19" s="198">
        <f t="shared" si="1"/>
        <v>527047523.00690508</v>
      </c>
      <c r="F19" s="198">
        <f t="shared" si="1"/>
        <v>1258152.816893077</v>
      </c>
      <c r="G19" s="198">
        <f t="shared" si="1"/>
        <v>6744703.7899779519</v>
      </c>
      <c r="H19" s="198">
        <f t="shared" si="1"/>
        <v>-26793259.274770983</v>
      </c>
      <c r="I19" s="198">
        <f t="shared" si="1"/>
        <v>553840782.28167605</v>
      </c>
      <c r="J19" s="1">
        <f t="shared" si="2"/>
        <v>104</v>
      </c>
      <c r="M19" s="28"/>
      <c r="N19" s="183"/>
      <c r="O19" s="183"/>
      <c r="P19" s="183"/>
      <c r="Q19" s="183"/>
      <c r="R19" s="183"/>
      <c r="S19" s="183"/>
      <c r="T19" s="183"/>
      <c r="U19" s="183"/>
      <c r="V19" s="183"/>
    </row>
    <row r="20" spans="1:22">
      <c r="A20" s="1">
        <f t="shared" si="3"/>
        <v>105</v>
      </c>
      <c r="B20" s="176" t="str">
        <f t="shared" si="0"/>
        <v xml:space="preserve">June </v>
      </c>
      <c r="C20" s="156">
        <f>'1-BaseTRR'!$F$2+1</f>
        <v>2023</v>
      </c>
      <c r="D20" s="198">
        <f t="shared" si="1"/>
        <v>246277910.87847403</v>
      </c>
      <c r="E20" s="198">
        <f t="shared" si="1"/>
        <v>773325433.88537908</v>
      </c>
      <c r="F20" s="198">
        <f t="shared" si="1"/>
        <v>1846060.4225346171</v>
      </c>
      <c r="G20" s="198">
        <f t="shared" si="1"/>
        <v>12014059.667358551</v>
      </c>
      <c r="H20" s="198">
        <f t="shared" si="1"/>
        <v>-36961258.519594923</v>
      </c>
      <c r="I20" s="198">
        <f t="shared" si="1"/>
        <v>810286692.40497398</v>
      </c>
      <c r="J20" s="1">
        <f t="shared" si="2"/>
        <v>105</v>
      </c>
      <c r="M20" s="28"/>
      <c r="N20" s="183"/>
      <c r="O20" s="183"/>
      <c r="P20" s="183"/>
      <c r="Q20" s="183"/>
      <c r="R20" s="183"/>
      <c r="S20" s="183"/>
      <c r="T20" s="183"/>
      <c r="U20" s="183"/>
      <c r="V20" s="183"/>
    </row>
    <row r="21" spans="1:22">
      <c r="A21" s="1">
        <f t="shared" si="3"/>
        <v>106</v>
      </c>
      <c r="B21" s="176" t="str">
        <f t="shared" si="0"/>
        <v>July</v>
      </c>
      <c r="C21" s="156">
        <f>'1-BaseTRR'!$F$2+1</f>
        <v>2023</v>
      </c>
      <c r="D21" s="198">
        <f t="shared" si="1"/>
        <v>41886224.018000633</v>
      </c>
      <c r="E21" s="198">
        <f t="shared" si="1"/>
        <v>815211657.90337968</v>
      </c>
      <c r="F21" s="198">
        <f t="shared" si="1"/>
        <v>1946050.0220238676</v>
      </c>
      <c r="G21" s="198">
        <f t="shared" si="1"/>
        <v>4083647.1338168988</v>
      </c>
      <c r="H21" s="198">
        <f t="shared" si="1"/>
        <v>-39098855.631387949</v>
      </c>
      <c r="I21" s="198">
        <f t="shared" si="1"/>
        <v>854310513.53476763</v>
      </c>
      <c r="J21" s="1">
        <f t="shared" si="2"/>
        <v>106</v>
      </c>
      <c r="M21" s="28"/>
      <c r="N21" s="183"/>
      <c r="O21" s="183"/>
      <c r="P21" s="183"/>
      <c r="Q21" s="183"/>
      <c r="R21" s="183"/>
      <c r="S21" s="183"/>
      <c r="T21" s="183"/>
      <c r="U21" s="183"/>
      <c r="V21" s="183"/>
    </row>
    <row r="22" spans="1:22">
      <c r="A22" s="1">
        <f t="shared" si="3"/>
        <v>107</v>
      </c>
      <c r="B22" s="176" t="str">
        <f t="shared" si="0"/>
        <v>August</v>
      </c>
      <c r="C22" s="156">
        <f>'1-BaseTRR'!$F$2+1</f>
        <v>2023</v>
      </c>
      <c r="D22" s="198">
        <f t="shared" si="1"/>
        <v>64514102.755534619</v>
      </c>
      <c r="E22" s="198">
        <f t="shared" si="1"/>
        <v>879725760.65891433</v>
      </c>
      <c r="F22" s="198">
        <f t="shared" si="1"/>
        <v>2100056.2483469197</v>
      </c>
      <c r="G22" s="198">
        <f t="shared" si="1"/>
        <v>6465088.5961552626</v>
      </c>
      <c r="H22" s="198">
        <f t="shared" si="1"/>
        <v>-43463887.979196295</v>
      </c>
      <c r="I22" s="198">
        <f t="shared" si="1"/>
        <v>923189648.63811064</v>
      </c>
      <c r="J22" s="1">
        <f t="shared" si="2"/>
        <v>107</v>
      </c>
      <c r="M22" s="28"/>
      <c r="N22" s="183"/>
      <c r="O22" s="183"/>
      <c r="P22" s="183"/>
      <c r="Q22" s="183"/>
      <c r="R22" s="183"/>
      <c r="S22" s="183"/>
      <c r="T22" s="183"/>
      <c r="U22" s="183"/>
      <c r="V22" s="183"/>
    </row>
    <row r="23" spans="1:22">
      <c r="A23" s="1">
        <f t="shared" si="3"/>
        <v>108</v>
      </c>
      <c r="B23" s="176" t="str">
        <f t="shared" si="0"/>
        <v>September</v>
      </c>
      <c r="C23" s="156">
        <f>'1-BaseTRR'!$F$2+1</f>
        <v>2023</v>
      </c>
      <c r="D23" s="198">
        <f t="shared" si="1"/>
        <v>102755732.31802866</v>
      </c>
      <c r="E23" s="198">
        <f t="shared" si="1"/>
        <v>982481492.97694302</v>
      </c>
      <c r="F23" s="198">
        <f t="shared" si="1"/>
        <v>2345351.802209422</v>
      </c>
      <c r="G23" s="198">
        <f t="shared" si="1"/>
        <v>5374716.6198882796</v>
      </c>
      <c r="H23" s="198">
        <f t="shared" si="1"/>
        <v>-46493252.796875156</v>
      </c>
      <c r="I23" s="198">
        <f t="shared" si="1"/>
        <v>1028974745.7738181</v>
      </c>
      <c r="J23" s="1">
        <f t="shared" si="2"/>
        <v>108</v>
      </c>
      <c r="M23" s="28"/>
      <c r="N23" s="183"/>
      <c r="O23" s="183"/>
      <c r="P23" s="183"/>
      <c r="Q23" s="183"/>
      <c r="R23" s="183"/>
      <c r="S23" s="183"/>
      <c r="T23" s="183"/>
      <c r="U23" s="183"/>
      <c r="V23" s="183"/>
    </row>
    <row r="24" spans="1:22">
      <c r="A24" s="1">
        <f t="shared" si="3"/>
        <v>109</v>
      </c>
      <c r="B24" s="176" t="str">
        <f t="shared" si="0"/>
        <v xml:space="preserve">October </v>
      </c>
      <c r="C24" s="156">
        <f>'1-BaseTRR'!$F$2+1</f>
        <v>2023</v>
      </c>
      <c r="D24" s="198">
        <f t="shared" si="1"/>
        <v>87574375.395581886</v>
      </c>
      <c r="E24" s="198">
        <f t="shared" si="1"/>
        <v>1070055868.372525</v>
      </c>
      <c r="F24" s="198">
        <f t="shared" si="1"/>
        <v>2554406.8537596017</v>
      </c>
      <c r="G24" s="198">
        <f t="shared" si="1"/>
        <v>5290107.3675843701</v>
      </c>
      <c r="H24" s="198">
        <f t="shared" si="1"/>
        <v>-49228953.310699925</v>
      </c>
      <c r="I24" s="198">
        <f t="shared" si="1"/>
        <v>1119284821.6832249</v>
      </c>
      <c r="J24" s="1">
        <f t="shared" si="2"/>
        <v>109</v>
      </c>
      <c r="M24" s="28"/>
      <c r="N24" s="183"/>
      <c r="O24" s="183"/>
      <c r="P24" s="183"/>
      <c r="Q24" s="183"/>
      <c r="R24" s="183"/>
      <c r="S24" s="183"/>
      <c r="T24" s="183"/>
      <c r="U24" s="183"/>
      <c r="V24" s="183"/>
    </row>
    <row r="25" spans="1:22">
      <c r="A25" s="1">
        <f t="shared" si="3"/>
        <v>110</v>
      </c>
      <c r="B25" s="176" t="str">
        <f t="shared" si="0"/>
        <v>November</v>
      </c>
      <c r="C25" s="156">
        <f>'1-BaseTRR'!$F$2+1</f>
        <v>2023</v>
      </c>
      <c r="D25" s="198">
        <f t="shared" si="1"/>
        <v>60098352.574760981</v>
      </c>
      <c r="E25" s="198">
        <f t="shared" si="1"/>
        <v>1130154220.9472859</v>
      </c>
      <c r="F25" s="198">
        <f t="shared" si="1"/>
        <v>2697871.9271768583</v>
      </c>
      <c r="G25" s="198">
        <f t="shared" si="1"/>
        <v>4788741.8438121136</v>
      </c>
      <c r="H25" s="198">
        <f t="shared" si="1"/>
        <v>-51319823.227335177</v>
      </c>
      <c r="I25" s="198">
        <f t="shared" si="1"/>
        <v>1181474044.1746211</v>
      </c>
      <c r="J25" s="1">
        <f t="shared" si="2"/>
        <v>110</v>
      </c>
      <c r="M25" s="28"/>
      <c r="N25" s="183"/>
      <c r="O25" s="183"/>
      <c r="P25" s="183"/>
      <c r="Q25" s="183"/>
      <c r="R25" s="183"/>
      <c r="S25" s="183"/>
      <c r="T25" s="183"/>
      <c r="U25" s="183"/>
      <c r="V25" s="183"/>
    </row>
    <row r="26" spans="1:22">
      <c r="A26" s="1">
        <f t="shared" si="3"/>
        <v>111</v>
      </c>
      <c r="B26" s="176" t="str">
        <f t="shared" si="0"/>
        <v>December</v>
      </c>
      <c r="C26" s="156">
        <f>'1-BaseTRR'!$F$2+1</f>
        <v>2023</v>
      </c>
      <c r="D26" s="198">
        <f t="shared" si="1"/>
        <v>130277673.49302877</v>
      </c>
      <c r="E26" s="198">
        <f t="shared" si="1"/>
        <v>1260431894.4403148</v>
      </c>
      <c r="F26" s="198">
        <f t="shared" si="1"/>
        <v>3008867.0741579076</v>
      </c>
      <c r="G26" s="198">
        <f t="shared" si="1"/>
        <v>4227877.7348411288</v>
      </c>
      <c r="H26" s="198">
        <f t="shared" si="1"/>
        <v>-52538833.888018399</v>
      </c>
      <c r="I26" s="198">
        <f t="shared" si="1"/>
        <v>1312970728.3283331</v>
      </c>
      <c r="J26" s="1">
        <f t="shared" si="2"/>
        <v>111</v>
      </c>
      <c r="M26" s="28"/>
      <c r="N26" s="183"/>
      <c r="O26" s="183"/>
      <c r="P26" s="183"/>
      <c r="Q26" s="183"/>
      <c r="R26" s="183"/>
      <c r="S26" s="183"/>
      <c r="T26" s="183"/>
      <c r="U26" s="183"/>
      <c r="V26" s="183"/>
    </row>
    <row r="27" spans="1:22">
      <c r="A27" s="1">
        <f t="shared" si="3"/>
        <v>112</v>
      </c>
      <c r="B27" s="176" t="str">
        <f t="shared" si="0"/>
        <v>January</v>
      </c>
      <c r="C27" s="156">
        <f>'1-BaseTRR'!$F$1</f>
        <v>2024</v>
      </c>
      <c r="D27" s="198">
        <f t="shared" si="1"/>
        <v>55109132.746046238</v>
      </c>
      <c r="E27" s="198">
        <f t="shared" si="1"/>
        <v>1315541027.1863608</v>
      </c>
      <c r="F27" s="198">
        <f t="shared" si="1"/>
        <v>3140422.0242796717</v>
      </c>
      <c r="G27" s="198">
        <f t="shared" si="1"/>
        <v>5346938.9695845712</v>
      </c>
      <c r="H27" s="198">
        <f t="shared" si="1"/>
        <v>-54745350.8333233</v>
      </c>
      <c r="I27" s="198">
        <f t="shared" si="1"/>
        <v>1370286378.0196843</v>
      </c>
      <c r="J27" s="1">
        <f t="shared" si="2"/>
        <v>112</v>
      </c>
      <c r="M27" s="28"/>
      <c r="N27" s="183"/>
      <c r="O27" s="183"/>
      <c r="P27" s="183"/>
      <c r="Q27" s="183"/>
      <c r="R27" s="183"/>
      <c r="S27" s="183"/>
      <c r="T27" s="183"/>
      <c r="U27" s="183"/>
      <c r="V27" s="183"/>
    </row>
    <row r="28" spans="1:22">
      <c r="A28" s="1">
        <f t="shared" si="3"/>
        <v>113</v>
      </c>
      <c r="B28" s="176" t="str">
        <f t="shared" si="0"/>
        <v>February</v>
      </c>
      <c r="C28" s="184">
        <f>'1-BaseTRR'!$F$1</f>
        <v>2024</v>
      </c>
      <c r="D28" s="198">
        <f t="shared" si="1"/>
        <v>106226944.35288081</v>
      </c>
      <c r="E28" s="198">
        <f t="shared" si="1"/>
        <v>1421767971.5392416</v>
      </c>
      <c r="F28" s="198">
        <f t="shared" si="1"/>
        <v>3394003.9565218044</v>
      </c>
      <c r="G28" s="198">
        <f t="shared" si="1"/>
        <v>5063498.3962393962</v>
      </c>
      <c r="H28" s="198">
        <f t="shared" si="1"/>
        <v>-56414845.273040891</v>
      </c>
      <c r="I28" s="198">
        <f t="shared" si="1"/>
        <v>1478182816.8122826</v>
      </c>
      <c r="J28" s="1">
        <f t="shared" si="2"/>
        <v>113</v>
      </c>
      <c r="M28" s="28"/>
      <c r="N28" s="183"/>
      <c r="O28" s="183"/>
      <c r="P28" s="183"/>
      <c r="Q28" s="183"/>
      <c r="R28" s="183"/>
      <c r="S28" s="183"/>
      <c r="T28" s="183"/>
      <c r="U28" s="183"/>
      <c r="V28" s="183"/>
    </row>
    <row r="29" spans="1:22">
      <c r="A29" s="1">
        <f t="shared" si="3"/>
        <v>114</v>
      </c>
      <c r="B29" s="176" t="str">
        <f t="shared" si="0"/>
        <v>March</v>
      </c>
      <c r="C29" s="184">
        <f>'1-BaseTRR'!$F$1</f>
        <v>2024</v>
      </c>
      <c r="D29" s="198">
        <f t="shared" si="1"/>
        <v>88345572.166623652</v>
      </c>
      <c r="E29" s="198">
        <f t="shared" si="1"/>
        <v>1510113543.7058654</v>
      </c>
      <c r="F29" s="198">
        <f t="shared" si="1"/>
        <v>3604899.9870112827</v>
      </c>
      <c r="G29" s="198">
        <f t="shared" si="1"/>
        <v>6233622.7975996993</v>
      </c>
      <c r="H29" s="198">
        <f t="shared" si="1"/>
        <v>-59043568.08362931</v>
      </c>
      <c r="I29" s="198">
        <f t="shared" si="1"/>
        <v>1569157111.7894945</v>
      </c>
      <c r="J29" s="1">
        <f t="shared" si="2"/>
        <v>114</v>
      </c>
      <c r="M29" s="28"/>
      <c r="N29" s="183"/>
      <c r="O29" s="183"/>
      <c r="P29" s="183"/>
      <c r="Q29" s="183"/>
      <c r="R29" s="183"/>
      <c r="S29" s="183"/>
      <c r="T29" s="183"/>
      <c r="U29" s="183"/>
      <c r="V29" s="183"/>
    </row>
    <row r="30" spans="1:22">
      <c r="A30" s="1">
        <f t="shared" si="3"/>
        <v>115</v>
      </c>
      <c r="B30" s="176" t="str">
        <f t="shared" si="0"/>
        <v>April</v>
      </c>
      <c r="C30" s="184">
        <f>'1-BaseTRR'!$F$1</f>
        <v>2024</v>
      </c>
      <c r="D30" s="198">
        <f t="shared" si="1"/>
        <v>119667139.64027068</v>
      </c>
      <c r="E30" s="198">
        <f t="shared" si="1"/>
        <v>1629780683.3461361</v>
      </c>
      <c r="F30" s="198">
        <f t="shared" si="1"/>
        <v>3890565.970163947</v>
      </c>
      <c r="G30" s="198">
        <f t="shared" si="1"/>
        <v>5175026.3731623041</v>
      </c>
      <c r="H30" s="198">
        <f t="shared" si="1"/>
        <v>-60328028.486627668</v>
      </c>
      <c r="I30" s="198">
        <f t="shared" si="1"/>
        <v>1690108711.8327637</v>
      </c>
      <c r="J30" s="1">
        <f t="shared" si="2"/>
        <v>115</v>
      </c>
      <c r="M30" s="28"/>
      <c r="N30" s="183"/>
      <c r="O30" s="183"/>
      <c r="P30" s="183"/>
      <c r="Q30" s="183"/>
      <c r="R30" s="183"/>
      <c r="S30" s="183"/>
      <c r="T30" s="183"/>
      <c r="U30" s="183"/>
      <c r="V30" s="183"/>
    </row>
    <row r="31" spans="1:22">
      <c r="A31" s="1">
        <f t="shared" si="3"/>
        <v>116</v>
      </c>
      <c r="B31" s="176" t="str">
        <f t="shared" si="0"/>
        <v>May</v>
      </c>
      <c r="C31" s="184">
        <f>'1-BaseTRR'!$F$1</f>
        <v>2024</v>
      </c>
      <c r="D31" s="198">
        <f t="shared" ref="D31:I38" si="4">D68+D104</f>
        <v>116543495.15783252</v>
      </c>
      <c r="E31" s="198">
        <f t="shared" si="4"/>
        <v>1746324178.5039685</v>
      </c>
      <c r="F31" s="198">
        <f t="shared" si="4"/>
        <v>4168775.278286377</v>
      </c>
      <c r="G31" s="198">
        <f t="shared" si="4"/>
        <v>5256951.5418913886</v>
      </c>
      <c r="H31" s="198">
        <f t="shared" si="4"/>
        <v>-61416204.750232674</v>
      </c>
      <c r="I31" s="198">
        <f t="shared" si="4"/>
        <v>1807740383.2542012</v>
      </c>
      <c r="J31" s="1">
        <f t="shared" si="2"/>
        <v>116</v>
      </c>
      <c r="M31" s="28"/>
      <c r="N31" s="183"/>
      <c r="O31" s="183"/>
      <c r="P31" s="183"/>
      <c r="Q31" s="183"/>
      <c r="R31" s="183"/>
      <c r="S31" s="183"/>
      <c r="T31" s="183"/>
      <c r="U31" s="183"/>
      <c r="V31" s="183"/>
    </row>
    <row r="32" spans="1:22">
      <c r="A32" s="1">
        <f t="shared" si="3"/>
        <v>117</v>
      </c>
      <c r="B32" s="176" t="str">
        <f t="shared" si="0"/>
        <v xml:space="preserve">June </v>
      </c>
      <c r="C32" s="184">
        <f>'1-BaseTRR'!$F$1</f>
        <v>2024</v>
      </c>
      <c r="D32" s="198">
        <f t="shared" si="4"/>
        <v>66454498.352867521</v>
      </c>
      <c r="E32" s="198">
        <f t="shared" si="4"/>
        <v>1812778676.8568358</v>
      </c>
      <c r="F32" s="198">
        <f t="shared" si="4"/>
        <v>4327413.5616443297</v>
      </c>
      <c r="G32" s="198">
        <f t="shared" si="4"/>
        <v>4914479.9507559743</v>
      </c>
      <c r="H32" s="198">
        <f t="shared" si="4"/>
        <v>-62003271.13934432</v>
      </c>
      <c r="I32" s="198">
        <f t="shared" si="4"/>
        <v>1874781947.9961803</v>
      </c>
      <c r="J32" s="1">
        <f t="shared" si="2"/>
        <v>117</v>
      </c>
      <c r="M32" s="28"/>
      <c r="N32" s="183"/>
      <c r="O32" s="183"/>
      <c r="P32" s="183"/>
      <c r="Q32" s="183"/>
      <c r="R32" s="183"/>
      <c r="S32" s="183"/>
      <c r="T32" s="183"/>
      <c r="U32" s="183"/>
      <c r="V32" s="183"/>
    </row>
    <row r="33" spans="1:22">
      <c r="A33" s="1">
        <f t="shared" si="3"/>
        <v>118</v>
      </c>
      <c r="B33" s="176" t="str">
        <f t="shared" si="0"/>
        <v>July</v>
      </c>
      <c r="C33" s="184">
        <f>'1-BaseTRR'!$F$1</f>
        <v>2024</v>
      </c>
      <c r="D33" s="198">
        <f t="shared" si="4"/>
        <v>98550311.261942178</v>
      </c>
      <c r="E33" s="198">
        <f t="shared" si="4"/>
        <v>1911328988.1187782</v>
      </c>
      <c r="F33" s="198">
        <f t="shared" si="4"/>
        <v>4562670.0542894481</v>
      </c>
      <c r="G33" s="198">
        <f t="shared" si="4"/>
        <v>4455474.6937215589</v>
      </c>
      <c r="H33" s="198">
        <f t="shared" si="4"/>
        <v>-61896075.77877643</v>
      </c>
      <c r="I33" s="198">
        <f t="shared" si="4"/>
        <v>1973225063.8975544</v>
      </c>
      <c r="J33" s="1">
        <f t="shared" si="2"/>
        <v>118</v>
      </c>
      <c r="M33" s="28"/>
      <c r="N33" s="183"/>
      <c r="O33" s="183"/>
      <c r="P33" s="183"/>
      <c r="Q33" s="183"/>
      <c r="R33" s="183"/>
      <c r="S33" s="183"/>
      <c r="T33" s="183"/>
      <c r="U33" s="183"/>
      <c r="V33" s="183"/>
    </row>
    <row r="34" spans="1:22">
      <c r="A34" s="1">
        <f t="shared" si="3"/>
        <v>119</v>
      </c>
      <c r="B34" s="176" t="str">
        <f t="shared" si="0"/>
        <v>August</v>
      </c>
      <c r="C34" s="184">
        <f>'1-BaseTRR'!$F$1</f>
        <v>2024</v>
      </c>
      <c r="D34" s="198">
        <f t="shared" si="4"/>
        <v>140050138.26468539</v>
      </c>
      <c r="E34" s="198">
        <f t="shared" si="4"/>
        <v>2051379126.3834634</v>
      </c>
      <c r="F34" s="198">
        <f t="shared" si="4"/>
        <v>4896993.7504880363</v>
      </c>
      <c r="G34" s="198">
        <f t="shared" si="4"/>
        <v>4580647.2848468143</v>
      </c>
      <c r="H34" s="198">
        <f t="shared" si="4"/>
        <v>-61579729.313135207</v>
      </c>
      <c r="I34" s="198">
        <f t="shared" si="4"/>
        <v>2112958855.6965985</v>
      </c>
      <c r="J34" s="1">
        <f t="shared" si="2"/>
        <v>119</v>
      </c>
      <c r="M34" s="28"/>
      <c r="N34" s="183"/>
      <c r="O34" s="183"/>
      <c r="P34" s="183"/>
      <c r="Q34" s="183"/>
      <c r="R34" s="183"/>
      <c r="S34" s="183"/>
      <c r="T34" s="183"/>
      <c r="U34" s="183"/>
      <c r="V34" s="183"/>
    </row>
    <row r="35" spans="1:22">
      <c r="A35" s="1">
        <f t="shared" si="3"/>
        <v>120</v>
      </c>
      <c r="B35" s="176" t="str">
        <f t="shared" si="0"/>
        <v>September</v>
      </c>
      <c r="C35" s="184">
        <f>'1-BaseTRR'!$F$1</f>
        <v>2024</v>
      </c>
      <c r="D35" s="198">
        <f t="shared" si="4"/>
        <v>98701983.515771031</v>
      </c>
      <c r="E35" s="198">
        <f t="shared" si="4"/>
        <v>2150081109.8992348</v>
      </c>
      <c r="F35" s="198">
        <f t="shared" si="4"/>
        <v>5132612.3108121958</v>
      </c>
      <c r="G35" s="198">
        <f t="shared" si="4"/>
        <v>4793983.6379899001</v>
      </c>
      <c r="H35" s="198">
        <f t="shared" si="4"/>
        <v>-61241100.64031291</v>
      </c>
      <c r="I35" s="198">
        <f t="shared" si="4"/>
        <v>2211322210.5395474</v>
      </c>
      <c r="J35" s="1">
        <f t="shared" si="2"/>
        <v>120</v>
      </c>
      <c r="M35" s="28"/>
      <c r="N35" s="183"/>
      <c r="O35" s="183"/>
      <c r="P35" s="183"/>
      <c r="Q35" s="183"/>
      <c r="R35" s="183"/>
      <c r="S35" s="183"/>
      <c r="T35" s="183"/>
      <c r="U35" s="183"/>
      <c r="V35" s="183"/>
    </row>
    <row r="36" spans="1:22">
      <c r="A36" s="1">
        <f t="shared" si="3"/>
        <v>121</v>
      </c>
      <c r="B36" s="176" t="str">
        <f t="shared" si="0"/>
        <v>October</v>
      </c>
      <c r="C36" s="184">
        <f>'1-BaseTRR'!$F$1</f>
        <v>2024</v>
      </c>
      <c r="D36" s="198">
        <f t="shared" si="4"/>
        <v>75330090.252181843</v>
      </c>
      <c r="E36" s="198">
        <f t="shared" si="4"/>
        <v>2225411200.1514163</v>
      </c>
      <c r="F36" s="198">
        <f t="shared" si="4"/>
        <v>5312438.1540433206</v>
      </c>
      <c r="G36" s="198">
        <f t="shared" si="4"/>
        <v>5050522.4507157803</v>
      </c>
      <c r="H36" s="198">
        <f t="shared" si="4"/>
        <v>-60979184.936985373</v>
      </c>
      <c r="I36" s="198">
        <f t="shared" si="4"/>
        <v>2286390385.0884018</v>
      </c>
      <c r="J36" s="1">
        <f t="shared" si="2"/>
        <v>121</v>
      </c>
      <c r="M36" s="28"/>
      <c r="N36" s="183"/>
      <c r="O36" s="183"/>
      <c r="P36" s="183"/>
      <c r="Q36" s="183"/>
      <c r="R36" s="183"/>
      <c r="S36" s="183"/>
      <c r="T36" s="183"/>
      <c r="U36" s="183"/>
      <c r="V36" s="183"/>
    </row>
    <row r="37" spans="1:22">
      <c r="A37" s="1">
        <f t="shared" si="3"/>
        <v>122</v>
      </c>
      <c r="B37" s="176" t="str">
        <f t="shared" si="0"/>
        <v>November</v>
      </c>
      <c r="C37" s="184">
        <f>'1-BaseTRR'!$F$1</f>
        <v>2024</v>
      </c>
      <c r="D37" s="198">
        <f t="shared" si="4"/>
        <v>125850537.83818357</v>
      </c>
      <c r="E37" s="198">
        <f t="shared" si="4"/>
        <v>2351261737.9896002</v>
      </c>
      <c r="F37" s="198">
        <f t="shared" si="4"/>
        <v>5612864.9690395556</v>
      </c>
      <c r="G37" s="198">
        <f t="shared" si="4"/>
        <v>4490682.7931886306</v>
      </c>
      <c r="H37" s="198">
        <f t="shared" si="4"/>
        <v>-59857002.761134446</v>
      </c>
      <c r="I37" s="198">
        <f t="shared" si="4"/>
        <v>2411118740.7507343</v>
      </c>
      <c r="J37" s="1">
        <f t="shared" si="2"/>
        <v>122</v>
      </c>
      <c r="M37" s="28"/>
      <c r="N37" s="183"/>
      <c r="O37" s="183"/>
      <c r="P37" s="183"/>
      <c r="Q37" s="183"/>
      <c r="R37" s="183"/>
      <c r="S37" s="183"/>
      <c r="T37" s="183"/>
      <c r="U37" s="183"/>
      <c r="V37" s="183"/>
    </row>
    <row r="38" spans="1:22">
      <c r="A38" s="1">
        <f t="shared" si="3"/>
        <v>123</v>
      </c>
      <c r="B38" s="185" t="str">
        <f t="shared" si="0"/>
        <v>December</v>
      </c>
      <c r="C38" s="186">
        <f>'1-BaseTRR'!$F$1</f>
        <v>2024</v>
      </c>
      <c r="D38" s="467">
        <f t="shared" si="4"/>
        <v>377359225.8425191</v>
      </c>
      <c r="E38" s="467">
        <f t="shared" si="4"/>
        <v>2728620963.832119</v>
      </c>
      <c r="F38" s="467">
        <f t="shared" si="4"/>
        <v>6513686.1516639842</v>
      </c>
      <c r="G38" s="467">
        <f t="shared" si="4"/>
        <v>4150690.5857558455</v>
      </c>
      <c r="H38" s="467">
        <f t="shared" si="4"/>
        <v>-57494007.195226304</v>
      </c>
      <c r="I38" s="467">
        <f t="shared" si="4"/>
        <v>2786114971.0273457</v>
      </c>
      <c r="J38" s="1">
        <f t="shared" si="2"/>
        <v>123</v>
      </c>
      <c r="M38" s="28"/>
      <c r="N38" s="183"/>
      <c r="O38" s="183"/>
      <c r="P38" s="183"/>
      <c r="Q38" s="183"/>
      <c r="R38" s="183"/>
      <c r="S38" s="183"/>
      <c r="T38" s="183"/>
      <c r="U38" s="183"/>
      <c r="V38" s="183"/>
    </row>
    <row r="39" spans="1:22" s="177" customFormat="1">
      <c r="A39" s="1">
        <f t="shared" si="3"/>
        <v>124</v>
      </c>
      <c r="C39" s="177" t="s">
        <v>1622</v>
      </c>
      <c r="D39" s="199"/>
      <c r="E39" s="199">
        <f>SUM(E26:E38)/13</f>
        <v>1854986238.6117949</v>
      </c>
      <c r="H39" s="198"/>
      <c r="I39" s="199">
        <f>SUM(I26:I38)/13</f>
        <v>1914181408.0794706</v>
      </c>
      <c r="J39" s="1">
        <f t="shared" si="2"/>
        <v>124</v>
      </c>
    </row>
    <row r="40" spans="1:22">
      <c r="A40" s="1">
        <v>125</v>
      </c>
      <c r="C40" s="544" t="s">
        <v>1383</v>
      </c>
      <c r="F40" s="199">
        <f>SUM(F27:F38)</f>
        <v>54557346.168243952</v>
      </c>
      <c r="J40" s="1">
        <v>125</v>
      </c>
      <c r="N40" s="183"/>
    </row>
    <row r="41" spans="1:22">
      <c r="A41" s="1"/>
      <c r="C41" s="544"/>
      <c r="F41" s="199"/>
      <c r="J41" s="1"/>
      <c r="N41" s="183"/>
    </row>
    <row r="42" spans="1:22">
      <c r="B42" s="179" t="s">
        <v>410</v>
      </c>
      <c r="C42" s="180"/>
      <c r="D42" s="180"/>
      <c r="E42" s="180"/>
      <c r="F42" s="187"/>
      <c r="G42" s="180"/>
      <c r="H42" s="180"/>
      <c r="I42" s="187"/>
    </row>
    <row r="43" spans="1:22">
      <c r="B43" s="176" t="s">
        <v>411</v>
      </c>
    </row>
    <row r="44" spans="1:22">
      <c r="B44" s="176" t="s">
        <v>1905</v>
      </c>
    </row>
    <row r="45" spans="1:22">
      <c r="B45" s="176" t="s">
        <v>1906</v>
      </c>
    </row>
    <row r="47" spans="1:22">
      <c r="A47" s="1"/>
      <c r="D47" s="174" t="s">
        <v>100</v>
      </c>
      <c r="E47" s="174" t="s">
        <v>101</v>
      </c>
      <c r="F47" s="174" t="s">
        <v>102</v>
      </c>
      <c r="G47" s="174" t="s">
        <v>103</v>
      </c>
      <c r="H47" s="174" t="s">
        <v>104</v>
      </c>
      <c r="I47" s="174" t="s">
        <v>105</v>
      </c>
      <c r="J47" s="1"/>
    </row>
    <row r="48" spans="1:22" ht="29">
      <c r="A48" s="1"/>
      <c r="D48" s="188" t="s">
        <v>125</v>
      </c>
      <c r="E48" s="188" t="s">
        <v>413</v>
      </c>
      <c r="F48" s="188" t="s">
        <v>1697</v>
      </c>
      <c r="G48" s="188" t="s">
        <v>126</v>
      </c>
      <c r="H48" s="188" t="s">
        <v>414</v>
      </c>
      <c r="I48" s="188" t="s">
        <v>415</v>
      </c>
      <c r="J48" s="1"/>
    </row>
    <row r="49" spans="1:13">
      <c r="A49" s="1"/>
      <c r="E49" s="1"/>
      <c r="F49" s="1"/>
      <c r="G49" s="1"/>
      <c r="H49" s="1"/>
      <c r="J49" s="1"/>
    </row>
    <row r="50" spans="1:13">
      <c r="A50" s="1"/>
      <c r="B50" s="819" t="str">
        <f>B13</f>
        <v>Forecast Period</v>
      </c>
      <c r="C50" s="819"/>
      <c r="D50" s="1" t="s">
        <v>398</v>
      </c>
      <c r="E50" s="1" t="s">
        <v>399</v>
      </c>
      <c r="F50" s="1" t="s">
        <v>400</v>
      </c>
      <c r="G50" s="1" t="s">
        <v>401</v>
      </c>
      <c r="H50" s="1" t="s">
        <v>399</v>
      </c>
      <c r="I50" s="1" t="s">
        <v>402</v>
      </c>
      <c r="J50" s="1"/>
    </row>
    <row r="51" spans="1:13">
      <c r="A51" s="182" t="s">
        <v>124</v>
      </c>
      <c r="B51" s="182" t="str">
        <f>B14</f>
        <v>Month</v>
      </c>
      <c r="C51" s="182" t="str">
        <f>C14</f>
        <v>Year</v>
      </c>
      <c r="D51" s="182" t="s">
        <v>408</v>
      </c>
      <c r="E51" s="182" t="s">
        <v>404</v>
      </c>
      <c r="F51" s="182" t="s">
        <v>405</v>
      </c>
      <c r="G51" s="182" t="s">
        <v>406</v>
      </c>
      <c r="H51" s="182" t="s">
        <v>407</v>
      </c>
      <c r="I51" s="182" t="s">
        <v>408</v>
      </c>
      <c r="J51" s="182" t="str">
        <f>A51</f>
        <v>Line</v>
      </c>
      <c r="M51" s="182"/>
    </row>
    <row r="52" spans="1:13">
      <c r="A52" s="1">
        <v>200</v>
      </c>
      <c r="B52" s="181" t="s">
        <v>114</v>
      </c>
      <c r="C52" s="156">
        <f>'1-BaseTRR'!$F$2+1</f>
        <v>2023</v>
      </c>
      <c r="D52" s="468">
        <v>16675589.980820369</v>
      </c>
      <c r="E52" s="198">
        <f>D52</f>
        <v>16675589.980820369</v>
      </c>
      <c r="F52" s="198">
        <f>E52*'12-DepRates'!$N$21/12</f>
        <v>39807.49285761892</v>
      </c>
      <c r="G52" s="468">
        <v>2304219.63894179</v>
      </c>
      <c r="H52" s="198">
        <f>F52-G52</f>
        <v>-2264412.1460841713</v>
      </c>
      <c r="I52" s="198">
        <f>E52-H52</f>
        <v>18940002.12690454</v>
      </c>
      <c r="J52" s="1">
        <f t="shared" ref="J52:J76" si="5">A52</f>
        <v>200</v>
      </c>
      <c r="L52" s="183"/>
    </row>
    <row r="53" spans="1:13">
      <c r="A53" s="1">
        <f t="shared" ref="A53:A112" si="6">A52+1</f>
        <v>201</v>
      </c>
      <c r="B53" s="181" t="s">
        <v>115</v>
      </c>
      <c r="C53" s="156">
        <f>'1-BaseTRR'!$F$2+1</f>
        <v>2023</v>
      </c>
      <c r="D53" s="468">
        <v>22357154.664427545</v>
      </c>
      <c r="E53" s="198">
        <f>E52+D53</f>
        <v>39032744.645247914</v>
      </c>
      <c r="F53" s="198">
        <f>E53*'12-DepRates'!$N$21/12</f>
        <v>93177.854904449327</v>
      </c>
      <c r="G53" s="468">
        <v>3073179.0535585629</v>
      </c>
      <c r="H53" s="198">
        <f>H52+F53-G53</f>
        <v>-5244413.3447382841</v>
      </c>
      <c r="I53" s="198">
        <f t="shared" ref="I53:I75" si="7">E53-H53</f>
        <v>44277157.989986196</v>
      </c>
      <c r="J53" s="1">
        <f t="shared" si="5"/>
        <v>201</v>
      </c>
      <c r="L53" s="183"/>
    </row>
    <row r="54" spans="1:13">
      <c r="A54" s="1">
        <f t="shared" si="6"/>
        <v>202</v>
      </c>
      <c r="B54" s="181" t="s">
        <v>116</v>
      </c>
      <c r="C54" s="156">
        <f>'1-BaseTRR'!$F$2+1</f>
        <v>2023</v>
      </c>
      <c r="D54" s="468">
        <v>43171312.76864779</v>
      </c>
      <c r="E54" s="198">
        <f t="shared" ref="E54:E75" si="8">E53+D54</f>
        <v>82204057.413895696</v>
      </c>
      <c r="F54" s="198">
        <f>E54*'12-DepRates'!$N$21/12</f>
        <v>196235.18161184504</v>
      </c>
      <c r="G54" s="468">
        <v>3018697.1278705485</v>
      </c>
      <c r="H54" s="198">
        <f t="shared" ref="H54:H75" si="9">H53+F54-G54</f>
        <v>-8066875.2909969874</v>
      </c>
      <c r="I54" s="198">
        <f>E54-H54</f>
        <v>90270932.70489268</v>
      </c>
      <c r="J54" s="1">
        <f t="shared" si="5"/>
        <v>202</v>
      </c>
      <c r="L54" s="183"/>
    </row>
    <row r="55" spans="1:13">
      <c r="A55" s="1">
        <f t="shared" si="6"/>
        <v>203</v>
      </c>
      <c r="B55" s="181" t="s">
        <v>117</v>
      </c>
      <c r="C55" s="156">
        <f>'1-BaseTRR'!$F$2+1</f>
        <v>2023</v>
      </c>
      <c r="D55" s="468">
        <v>147338174.37739632</v>
      </c>
      <c r="E55" s="198">
        <f t="shared" si="8"/>
        <v>229542231.79129201</v>
      </c>
      <c r="F55" s="198">
        <f>E55*'12-DepRates'!$N$21/12</f>
        <v>547956.66978280048</v>
      </c>
      <c r="G55" s="468">
        <v>3126368.8367966595</v>
      </c>
      <c r="H55" s="198">
        <f t="shared" si="9"/>
        <v>-10645287.458010847</v>
      </c>
      <c r="I55" s="198">
        <f t="shared" si="7"/>
        <v>240187519.24930286</v>
      </c>
      <c r="J55" s="1">
        <f t="shared" si="5"/>
        <v>203</v>
      </c>
      <c r="L55" s="183"/>
    </row>
    <row r="56" spans="1:13">
      <c r="A56" s="1">
        <f t="shared" si="6"/>
        <v>204</v>
      </c>
      <c r="B56" s="181" t="s">
        <v>90</v>
      </c>
      <c r="C56" s="156">
        <f>'1-BaseTRR'!$F$2+1</f>
        <v>2023</v>
      </c>
      <c r="D56" s="468">
        <v>69198072.648887321</v>
      </c>
      <c r="E56" s="198">
        <f t="shared" si="8"/>
        <v>298740304.44017935</v>
      </c>
      <c r="F56" s="198">
        <f>E56*'12-DepRates'!$N$21/12</f>
        <v>713144.33546058554</v>
      </c>
      <c r="G56" s="468">
        <v>3452426.3536368972</v>
      </c>
      <c r="H56" s="198">
        <f t="shared" si="9"/>
        <v>-13384569.476187158</v>
      </c>
      <c r="I56" s="198">
        <f t="shared" si="7"/>
        <v>312124873.91636652</v>
      </c>
      <c r="J56" s="1">
        <f t="shared" si="5"/>
        <v>204</v>
      </c>
      <c r="L56" s="183"/>
    </row>
    <row r="57" spans="1:13">
      <c r="A57" s="1">
        <f t="shared" si="6"/>
        <v>205</v>
      </c>
      <c r="B57" s="181" t="s">
        <v>118</v>
      </c>
      <c r="C57" s="156">
        <f>'1-BaseTRR'!$F$2+1</f>
        <v>2023</v>
      </c>
      <c r="D57" s="468">
        <v>130065168.31213123</v>
      </c>
      <c r="E57" s="198">
        <f t="shared" si="8"/>
        <v>428805472.75231057</v>
      </c>
      <c r="F57" s="198">
        <f>E57*'12-DepRates'!$N$21/12</f>
        <v>1023632.1961338936</v>
      </c>
      <c r="G57" s="468">
        <v>5401622.3564167954</v>
      </c>
      <c r="H57" s="198">
        <f t="shared" si="9"/>
        <v>-17762559.636470061</v>
      </c>
      <c r="I57" s="198">
        <f t="shared" si="7"/>
        <v>446568032.38878065</v>
      </c>
      <c r="J57" s="1">
        <f t="shared" si="5"/>
        <v>205</v>
      </c>
    </row>
    <row r="58" spans="1:13">
      <c r="A58" s="1">
        <f t="shared" si="6"/>
        <v>206</v>
      </c>
      <c r="B58" s="181" t="s">
        <v>119</v>
      </c>
      <c r="C58" s="156">
        <f>'1-BaseTRR'!$F$2+1</f>
        <v>2023</v>
      </c>
      <c r="D58" s="468">
        <v>18557803.667985521</v>
      </c>
      <c r="E58" s="198">
        <f t="shared" si="8"/>
        <v>447363276.42029607</v>
      </c>
      <c r="F58" s="198">
        <f>E58*'12-DepRates'!$N$21/12</f>
        <v>1067932.8558296582</v>
      </c>
      <c r="G58" s="468">
        <v>2356918.5090836701</v>
      </c>
      <c r="H58" s="198">
        <f t="shared" si="9"/>
        <v>-19051545.289724074</v>
      </c>
      <c r="I58" s="198">
        <f t="shared" si="7"/>
        <v>466414821.71002012</v>
      </c>
      <c r="J58" s="1">
        <f t="shared" si="5"/>
        <v>206</v>
      </c>
      <c r="L58" s="183"/>
    </row>
    <row r="59" spans="1:13">
      <c r="A59" s="1">
        <f t="shared" si="6"/>
        <v>207</v>
      </c>
      <c r="B59" s="181" t="s">
        <v>120</v>
      </c>
      <c r="C59" s="156">
        <f>'1-BaseTRR'!$F$2+1</f>
        <v>2023</v>
      </c>
      <c r="D59" s="468">
        <v>26968389.475252487</v>
      </c>
      <c r="E59" s="198">
        <f t="shared" si="8"/>
        <v>474331665.89554858</v>
      </c>
      <c r="F59" s="198">
        <f>E59*'12-DepRates'!$N$21/12</f>
        <v>1132311.0261164277</v>
      </c>
      <c r="G59" s="468">
        <v>3035800.9668500153</v>
      </c>
      <c r="H59" s="198">
        <f t="shared" si="9"/>
        <v>-20955035.230457664</v>
      </c>
      <c r="I59" s="198">
        <f t="shared" si="7"/>
        <v>495286701.12600625</v>
      </c>
      <c r="J59" s="1">
        <f t="shared" si="5"/>
        <v>207</v>
      </c>
      <c r="L59" s="183"/>
    </row>
    <row r="60" spans="1:13">
      <c r="A60" s="1">
        <f t="shared" si="6"/>
        <v>208</v>
      </c>
      <c r="B60" s="181" t="s">
        <v>121</v>
      </c>
      <c r="C60" s="156">
        <f>'1-BaseTRR'!$F$2+1</f>
        <v>2023</v>
      </c>
      <c r="D60" s="468">
        <v>22529352.072784312</v>
      </c>
      <c r="E60" s="198">
        <f t="shared" si="8"/>
        <v>496861017.96833289</v>
      </c>
      <c r="F60" s="198">
        <f>E60*'12-DepRates'!$N$21/12</f>
        <v>1186092.4529058638</v>
      </c>
      <c r="G60" s="468">
        <v>2283880.2709592436</v>
      </c>
      <c r="H60" s="198">
        <f t="shared" si="9"/>
        <v>-22052823.048511043</v>
      </c>
      <c r="I60" s="198">
        <f t="shared" si="7"/>
        <v>518913841.01684391</v>
      </c>
      <c r="J60" s="1">
        <f t="shared" si="5"/>
        <v>208</v>
      </c>
      <c r="L60" s="183"/>
    </row>
    <row r="61" spans="1:13">
      <c r="A61" s="1">
        <f t="shared" si="6"/>
        <v>209</v>
      </c>
      <c r="B61" s="181" t="s">
        <v>416</v>
      </c>
      <c r="C61" s="156">
        <f>'1-BaseTRR'!$F$2+1</f>
        <v>2023</v>
      </c>
      <c r="D61" s="468">
        <v>18776084.076793775</v>
      </c>
      <c r="E61" s="198">
        <f t="shared" si="8"/>
        <v>515637102.04512668</v>
      </c>
      <c r="F61" s="198">
        <f>E61*'12-DepRates'!$N$21/12</f>
        <v>1230914.1853687442</v>
      </c>
      <c r="G61" s="468">
        <v>2179956.5138005414</v>
      </c>
      <c r="H61" s="198">
        <f t="shared" si="9"/>
        <v>-23001865.376942843</v>
      </c>
      <c r="I61" s="198">
        <f t="shared" si="7"/>
        <v>538638967.42206955</v>
      </c>
      <c r="J61" s="1">
        <f t="shared" si="5"/>
        <v>209</v>
      </c>
      <c r="L61" s="183"/>
    </row>
    <row r="62" spans="1:13">
      <c r="A62" s="1">
        <f t="shared" si="6"/>
        <v>210</v>
      </c>
      <c r="B62" s="181" t="s">
        <v>123</v>
      </c>
      <c r="C62" s="156">
        <f>'1-BaseTRR'!$F$2+1</f>
        <v>2023</v>
      </c>
      <c r="D62" s="468">
        <v>28558892.857113134</v>
      </c>
      <c r="E62" s="198">
        <f t="shared" si="8"/>
        <v>544195994.9022398</v>
      </c>
      <c r="F62" s="198">
        <f>E62*'12-DepRates'!$N$21/12</f>
        <v>1299089.1599716581</v>
      </c>
      <c r="G62" s="468">
        <v>2053268.9057413344</v>
      </c>
      <c r="H62" s="198">
        <f t="shared" si="9"/>
        <v>-23756045.122712519</v>
      </c>
      <c r="I62" s="198">
        <f t="shared" si="7"/>
        <v>567952040.02495229</v>
      </c>
      <c r="J62" s="1">
        <f t="shared" si="5"/>
        <v>210</v>
      </c>
      <c r="L62" s="183"/>
    </row>
    <row r="63" spans="1:13">
      <c r="A63" s="1">
        <f t="shared" si="6"/>
        <v>211</v>
      </c>
      <c r="B63" s="181" t="s">
        <v>113</v>
      </c>
      <c r="C63" s="156">
        <f>'1-BaseTRR'!$F$2+1</f>
        <v>2023</v>
      </c>
      <c r="D63" s="468">
        <v>57723526.553956985</v>
      </c>
      <c r="E63" s="198">
        <f t="shared" si="8"/>
        <v>601919521.45619678</v>
      </c>
      <c r="F63" s="198">
        <f>E63*'12-DepRates'!$N$21/12</f>
        <v>1436885.1164359329</v>
      </c>
      <c r="G63" s="468">
        <v>1621408.2434501275</v>
      </c>
      <c r="H63" s="198">
        <f t="shared" si="9"/>
        <v>-23940568.249726713</v>
      </c>
      <c r="I63" s="198">
        <f t="shared" si="7"/>
        <v>625860089.70592356</v>
      </c>
      <c r="J63" s="1">
        <f t="shared" si="5"/>
        <v>211</v>
      </c>
      <c r="L63" s="183"/>
    </row>
    <row r="64" spans="1:13">
      <c r="A64" s="1">
        <f t="shared" si="6"/>
        <v>212</v>
      </c>
      <c r="B64" s="181" t="s">
        <v>114</v>
      </c>
      <c r="C64" s="156">
        <f>'1-BaseTRR'!$F$1</f>
        <v>2024</v>
      </c>
      <c r="D64" s="468">
        <v>18180688.187197454</v>
      </c>
      <c r="E64" s="198">
        <f t="shared" si="8"/>
        <v>620100209.64339423</v>
      </c>
      <c r="F64" s="198">
        <f>E64*'12-DepRates'!$N$21/12</f>
        <v>1480285.5368103161</v>
      </c>
      <c r="G64" s="468">
        <v>2485725.5948420009</v>
      </c>
      <c r="H64" s="198">
        <f t="shared" si="9"/>
        <v>-24946008.307758398</v>
      </c>
      <c r="I64" s="198">
        <f t="shared" si="7"/>
        <v>645046217.95115268</v>
      </c>
      <c r="J64" s="1">
        <f t="shared" si="5"/>
        <v>212</v>
      </c>
      <c r="L64" s="183"/>
    </row>
    <row r="65" spans="1:12">
      <c r="A65" s="1">
        <f t="shared" si="6"/>
        <v>213</v>
      </c>
      <c r="B65" s="181" t="s">
        <v>115</v>
      </c>
      <c r="C65" s="184">
        <f>'1-BaseTRR'!$F$1</f>
        <v>2024</v>
      </c>
      <c r="D65" s="468">
        <v>62198359.028782174</v>
      </c>
      <c r="E65" s="198">
        <f t="shared" si="8"/>
        <v>682298568.67217636</v>
      </c>
      <c r="F65" s="198">
        <f>E65*'12-DepRates'!$N$21/12</f>
        <v>1628763.6857478721</v>
      </c>
      <c r="G65" s="468">
        <v>2254404.9320763787</v>
      </c>
      <c r="H65" s="198">
        <f t="shared" si="9"/>
        <v>-25571649.554086905</v>
      </c>
      <c r="I65" s="198">
        <f t="shared" si="7"/>
        <v>707870218.22626328</v>
      </c>
      <c r="J65" s="1">
        <f t="shared" si="5"/>
        <v>213</v>
      </c>
      <c r="L65" s="183"/>
    </row>
    <row r="66" spans="1:12">
      <c r="A66" s="1">
        <f t="shared" si="6"/>
        <v>214</v>
      </c>
      <c r="B66" s="181" t="s">
        <v>116</v>
      </c>
      <c r="C66" s="184">
        <f>'1-BaseTRR'!$F$1</f>
        <v>2024</v>
      </c>
      <c r="D66" s="468">
        <v>40778200.891874164</v>
      </c>
      <c r="E66" s="198">
        <f t="shared" si="8"/>
        <v>723076769.56405056</v>
      </c>
      <c r="F66" s="198">
        <f>E66*'12-DepRates'!$N$21/12</f>
        <v>1726108.2440283804</v>
      </c>
      <c r="G66" s="468">
        <v>3463969.8173053642</v>
      </c>
      <c r="H66" s="198">
        <f t="shared" si="9"/>
        <v>-27309511.127363887</v>
      </c>
      <c r="I66" s="198">
        <f t="shared" si="7"/>
        <v>750386280.69141448</v>
      </c>
      <c r="J66" s="1">
        <f t="shared" si="5"/>
        <v>214</v>
      </c>
      <c r="L66" s="183"/>
    </row>
    <row r="67" spans="1:12">
      <c r="A67" s="1">
        <f t="shared" si="6"/>
        <v>215</v>
      </c>
      <c r="B67" s="181" t="s">
        <v>117</v>
      </c>
      <c r="C67" s="184">
        <f>'1-BaseTRR'!$F$1</f>
        <v>2024</v>
      </c>
      <c r="D67" s="468">
        <v>60641905.539679952</v>
      </c>
      <c r="E67" s="198">
        <f t="shared" si="8"/>
        <v>783718675.10373056</v>
      </c>
      <c r="F67" s="198">
        <f>E67*'12-DepRates'!$N$21/12</f>
        <v>1870870.8715827705</v>
      </c>
      <c r="G67" s="468">
        <v>2177706.2198300781</v>
      </c>
      <c r="H67" s="198">
        <f t="shared" si="9"/>
        <v>-27616346.475611195</v>
      </c>
      <c r="I67" s="198">
        <f t="shared" si="7"/>
        <v>811335021.57934177</v>
      </c>
      <c r="J67" s="1">
        <f t="shared" si="5"/>
        <v>215</v>
      </c>
      <c r="L67" s="183"/>
    </row>
    <row r="68" spans="1:12">
      <c r="A68" s="1">
        <f t="shared" si="6"/>
        <v>216</v>
      </c>
      <c r="B68" s="181" t="s">
        <v>90</v>
      </c>
      <c r="C68" s="184">
        <f>'1-BaseTRR'!$F$1</f>
        <v>2024</v>
      </c>
      <c r="D68" s="468">
        <v>51488456.570937864</v>
      </c>
      <c r="E68" s="198">
        <f t="shared" si="8"/>
        <v>835207131.67466843</v>
      </c>
      <c r="F68" s="198">
        <f>E68*'12-DepRates'!$N$21/12</f>
        <v>1993782.6467916137</v>
      </c>
      <c r="G68" s="468">
        <v>2177849.3499797792</v>
      </c>
      <c r="H68" s="198">
        <f t="shared" si="9"/>
        <v>-27800413.178799361</v>
      </c>
      <c r="I68" s="198">
        <f t="shared" si="7"/>
        <v>863007544.85346782</v>
      </c>
      <c r="J68" s="1">
        <f t="shared" si="5"/>
        <v>216</v>
      </c>
      <c r="L68" s="183"/>
    </row>
    <row r="69" spans="1:12">
      <c r="A69" s="1">
        <f t="shared" si="6"/>
        <v>217</v>
      </c>
      <c r="B69" s="181" t="s">
        <v>118</v>
      </c>
      <c r="C69" s="184">
        <f>'1-BaseTRR'!$F$1</f>
        <v>2024</v>
      </c>
      <c r="D69" s="468">
        <v>23172826.657267697</v>
      </c>
      <c r="E69" s="198">
        <f t="shared" si="8"/>
        <v>858379958.33193612</v>
      </c>
      <c r="F69" s="198">
        <f>E69*'12-DepRates'!$N$21/12</f>
        <v>2049100.1577589011</v>
      </c>
      <c r="G69" s="468">
        <v>1968312.8797495905</v>
      </c>
      <c r="H69" s="198">
        <f t="shared" si="9"/>
        <v>-27719625.900790051</v>
      </c>
      <c r="I69" s="198">
        <f t="shared" si="7"/>
        <v>886099584.23272622</v>
      </c>
      <c r="J69" s="1">
        <f t="shared" si="5"/>
        <v>217</v>
      </c>
      <c r="L69" s="183"/>
    </row>
    <row r="70" spans="1:12">
      <c r="A70" s="1">
        <f t="shared" si="6"/>
        <v>218</v>
      </c>
      <c r="B70" s="181" t="s">
        <v>119</v>
      </c>
      <c r="C70" s="184">
        <f>'1-BaseTRR'!$F$1</f>
        <v>2024</v>
      </c>
      <c r="D70" s="468">
        <v>36799582.855153695</v>
      </c>
      <c r="E70" s="198">
        <f t="shared" si="8"/>
        <v>895179541.1870898</v>
      </c>
      <c r="F70" s="198">
        <f>E70*'12-DepRates'!$N$21/12</f>
        <v>2136947.0725220223</v>
      </c>
      <c r="G70" s="468">
        <v>1716374.6628185962</v>
      </c>
      <c r="H70" s="198">
        <f t="shared" si="9"/>
        <v>-27299053.491086625</v>
      </c>
      <c r="I70" s="198">
        <f t="shared" si="7"/>
        <v>922478594.6781764</v>
      </c>
      <c r="J70" s="1">
        <f t="shared" si="5"/>
        <v>218</v>
      </c>
      <c r="L70" s="183"/>
    </row>
    <row r="71" spans="1:12">
      <c r="A71" s="1">
        <f t="shared" si="6"/>
        <v>219</v>
      </c>
      <c r="B71" s="181" t="s">
        <v>120</v>
      </c>
      <c r="C71" s="184">
        <f>'1-BaseTRR'!$F$1</f>
        <v>2024</v>
      </c>
      <c r="D71" s="468">
        <v>89420859.299033791</v>
      </c>
      <c r="E71" s="198">
        <f t="shared" si="8"/>
        <v>984600400.48612356</v>
      </c>
      <c r="F71" s="198">
        <f>E71*'12-DepRates'!$N$21/12</f>
        <v>2350409.9977895888</v>
      </c>
      <c r="G71" s="468">
        <v>1649895.0508095506</v>
      </c>
      <c r="H71" s="198">
        <f t="shared" si="9"/>
        <v>-26598538.544106588</v>
      </c>
      <c r="I71" s="198">
        <f t="shared" si="7"/>
        <v>1011198939.0302302</v>
      </c>
      <c r="J71" s="1">
        <f t="shared" si="5"/>
        <v>219</v>
      </c>
      <c r="L71" s="183"/>
    </row>
    <row r="72" spans="1:12">
      <c r="A72" s="1">
        <f t="shared" si="6"/>
        <v>220</v>
      </c>
      <c r="B72" s="181" t="s">
        <v>121</v>
      </c>
      <c r="C72" s="184">
        <f>'1-BaseTRR'!$F$1</f>
        <v>2024</v>
      </c>
      <c r="D72" s="468">
        <v>57027268.905176878</v>
      </c>
      <c r="E72" s="198">
        <f t="shared" si="8"/>
        <v>1041627669.3913004</v>
      </c>
      <c r="F72" s="198">
        <f>E72*'12-DepRates'!$N$21/12</f>
        <v>2486543.8678501588</v>
      </c>
      <c r="G72" s="468">
        <v>1572181.7433107255</v>
      </c>
      <c r="H72" s="198">
        <f t="shared" si="9"/>
        <v>-25684176.419567157</v>
      </c>
      <c r="I72" s="198">
        <f t="shared" si="7"/>
        <v>1067311845.8108675</v>
      </c>
      <c r="J72" s="1">
        <f t="shared" si="5"/>
        <v>220</v>
      </c>
      <c r="L72" s="183"/>
    </row>
    <row r="73" spans="1:12">
      <c r="A73" s="1">
        <f t="shared" si="6"/>
        <v>221</v>
      </c>
      <c r="B73" s="181" t="s">
        <v>122</v>
      </c>
      <c r="C73" s="184">
        <f>'1-BaseTRR'!$F$1</f>
        <v>2024</v>
      </c>
      <c r="D73" s="468">
        <v>17653430.230873507</v>
      </c>
      <c r="E73" s="198">
        <f t="shared" si="8"/>
        <v>1059281099.6221739</v>
      </c>
      <c r="F73" s="198">
        <f>E73*'12-DepRates'!$N$21/12</f>
        <v>2528685.6330672354</v>
      </c>
      <c r="G73" s="468">
        <v>1673938.0791716021</v>
      </c>
      <c r="H73" s="198">
        <f t="shared" si="9"/>
        <v>-24829428.865671523</v>
      </c>
      <c r="I73" s="198">
        <f t="shared" si="7"/>
        <v>1084110528.4878454</v>
      </c>
      <c r="J73" s="1">
        <f t="shared" si="5"/>
        <v>221</v>
      </c>
      <c r="L73" s="183"/>
    </row>
    <row r="74" spans="1:12">
      <c r="A74" s="1">
        <f t="shared" si="6"/>
        <v>222</v>
      </c>
      <c r="B74" s="181" t="s">
        <v>123</v>
      </c>
      <c r="C74" s="184">
        <f>'1-BaseTRR'!$F$1</f>
        <v>2024</v>
      </c>
      <c r="D74" s="468">
        <v>37141812.863691255</v>
      </c>
      <c r="E74" s="198">
        <f t="shared" si="8"/>
        <v>1096422912.4858651</v>
      </c>
      <c r="F74" s="198">
        <f>E74*'12-DepRates'!$N$21/12</f>
        <v>2617349.5095472247</v>
      </c>
      <c r="G74" s="468">
        <v>1455156.7779038781</v>
      </c>
      <c r="H74" s="198">
        <f t="shared" si="9"/>
        <v>-23667236.134028174</v>
      </c>
      <c r="I74" s="198">
        <f t="shared" si="7"/>
        <v>1120090148.6198933</v>
      </c>
      <c r="J74" s="1">
        <f t="shared" si="5"/>
        <v>222</v>
      </c>
      <c r="L74" s="183"/>
    </row>
    <row r="75" spans="1:12">
      <c r="A75" s="1">
        <f t="shared" si="6"/>
        <v>223</v>
      </c>
      <c r="B75" s="189" t="s">
        <v>113</v>
      </c>
      <c r="C75" s="186">
        <f>'1-BaseTRR'!$F$1</f>
        <v>2024</v>
      </c>
      <c r="D75" s="472">
        <v>198972197.9599542</v>
      </c>
      <c r="E75" s="467">
        <f t="shared" si="8"/>
        <v>1295395110.4458194</v>
      </c>
      <c r="F75" s="467">
        <f>E75*'12-DepRates'!$N$21/12</f>
        <v>3092330.2663459689</v>
      </c>
      <c r="G75" s="472">
        <v>1721566.0180773053</v>
      </c>
      <c r="H75" s="467">
        <f t="shared" si="9"/>
        <v>-22296471.88575951</v>
      </c>
      <c r="I75" s="467">
        <f t="shared" si="7"/>
        <v>1317691582.331579</v>
      </c>
      <c r="J75" s="1">
        <f t="shared" si="5"/>
        <v>223</v>
      </c>
      <c r="L75" s="183"/>
    </row>
    <row r="76" spans="1:12">
      <c r="A76" s="1">
        <f t="shared" si="6"/>
        <v>224</v>
      </c>
      <c r="B76" s="177"/>
      <c r="C76" s="1" t="s">
        <v>409</v>
      </c>
      <c r="D76" s="199"/>
      <c r="E76" s="199">
        <f>SUM(E63:E75)/13</f>
        <v>882862120.62034798</v>
      </c>
      <c r="F76" s="198"/>
      <c r="G76" s="198"/>
      <c r="H76" s="198"/>
      <c r="I76" s="199">
        <f>SUM(I63:I75)/13</f>
        <v>908652815.09222174</v>
      </c>
      <c r="J76" s="1">
        <f t="shared" si="5"/>
        <v>224</v>
      </c>
    </row>
    <row r="77" spans="1:12">
      <c r="A77" s="1"/>
      <c r="D77" s="190"/>
      <c r="J77" s="1"/>
    </row>
    <row r="78" spans="1:12">
      <c r="B78" s="179" t="s">
        <v>417</v>
      </c>
      <c r="C78" s="180"/>
      <c r="D78" s="191"/>
      <c r="E78" s="180"/>
      <c r="F78" s="180"/>
      <c r="G78" s="180"/>
      <c r="H78" s="180"/>
      <c r="I78" s="180"/>
    </row>
    <row r="79" spans="1:12">
      <c r="B79" s="176" t="s">
        <v>418</v>
      </c>
    </row>
    <row r="80" spans="1:12">
      <c r="B80" s="176" t="s">
        <v>412</v>
      </c>
    </row>
    <row r="81" spans="1:13">
      <c r="B81" s="176" t="s">
        <v>1301</v>
      </c>
    </row>
    <row r="83" spans="1:13">
      <c r="A83" s="1"/>
      <c r="D83" s="174" t="s">
        <v>100</v>
      </c>
      <c r="E83" s="174" t="s">
        <v>101</v>
      </c>
      <c r="F83" s="174" t="s">
        <v>102</v>
      </c>
      <c r="G83" s="174" t="s">
        <v>103</v>
      </c>
      <c r="H83" s="174" t="s">
        <v>104</v>
      </c>
      <c r="I83" s="174" t="s">
        <v>105</v>
      </c>
      <c r="J83" s="1"/>
    </row>
    <row r="84" spans="1:13" ht="29">
      <c r="A84" s="1"/>
      <c r="D84" s="188" t="s">
        <v>125</v>
      </c>
      <c r="E84" s="188" t="s">
        <v>413</v>
      </c>
      <c r="F84" s="188" t="s">
        <v>1697</v>
      </c>
      <c r="G84" s="188" t="s">
        <v>126</v>
      </c>
      <c r="H84" s="188" t="s">
        <v>414</v>
      </c>
      <c r="I84" s="188" t="s">
        <v>415</v>
      </c>
      <c r="J84" s="1"/>
    </row>
    <row r="85" spans="1:13">
      <c r="A85" s="1"/>
      <c r="E85" s="1"/>
      <c r="F85" s="1"/>
      <c r="G85" s="1"/>
      <c r="H85" s="1"/>
      <c r="I85" s="184"/>
      <c r="J85" s="1"/>
    </row>
    <row r="86" spans="1:13">
      <c r="A86" s="1"/>
      <c r="B86" s="819" t="str">
        <f>B13</f>
        <v>Forecast Period</v>
      </c>
      <c r="C86" s="819"/>
      <c r="D86" s="1" t="s">
        <v>398</v>
      </c>
      <c r="E86" s="1" t="s">
        <v>399</v>
      </c>
      <c r="F86" s="1" t="s">
        <v>400</v>
      </c>
      <c r="G86" s="1" t="s">
        <v>401</v>
      </c>
      <c r="H86" s="1" t="s">
        <v>399</v>
      </c>
      <c r="I86" s="1" t="s">
        <v>402</v>
      </c>
      <c r="J86" s="1"/>
    </row>
    <row r="87" spans="1:13">
      <c r="A87" s="182" t="s">
        <v>124</v>
      </c>
      <c r="B87" s="182" t="str">
        <f>B14</f>
        <v>Month</v>
      </c>
      <c r="C87" s="182" t="str">
        <f>C14</f>
        <v>Year</v>
      </c>
      <c r="D87" s="182" t="s">
        <v>408</v>
      </c>
      <c r="E87" s="182" t="s">
        <v>404</v>
      </c>
      <c r="F87" s="182" t="s">
        <v>405</v>
      </c>
      <c r="G87" s="182" t="s">
        <v>406</v>
      </c>
      <c r="H87" s="182" t="s">
        <v>407</v>
      </c>
      <c r="I87" s="182" t="s">
        <v>408</v>
      </c>
      <c r="J87" s="182" t="str">
        <f>A87</f>
        <v>Line</v>
      </c>
      <c r="L87" s="192"/>
      <c r="M87" s="182"/>
    </row>
    <row r="88" spans="1:13">
      <c r="A88" s="1">
        <v>300</v>
      </c>
      <c r="B88" s="181" t="str">
        <f t="shared" ref="B88:B111" si="10">B52</f>
        <v>January</v>
      </c>
      <c r="C88" s="156">
        <f>'1-BaseTRR'!$F$2+1</f>
        <v>2023</v>
      </c>
      <c r="D88" s="468">
        <v>38665154.121929929</v>
      </c>
      <c r="E88" s="198">
        <f>D88</f>
        <v>38665154.121929929</v>
      </c>
      <c r="F88" s="198">
        <f>E88*'12-DepRates'!$N$21/12</f>
        <v>92300.353289913401</v>
      </c>
      <c r="G88" s="468">
        <v>2762848.5730606033</v>
      </c>
      <c r="H88" s="198">
        <f>F88-G88</f>
        <v>-2670548.21977069</v>
      </c>
      <c r="I88" s="198">
        <f>E88-H88</f>
        <v>41335702.341700621</v>
      </c>
      <c r="J88" s="1">
        <f t="shared" ref="J88:J112" si="11">A88</f>
        <v>300</v>
      </c>
      <c r="K88" s="193"/>
      <c r="L88" s="194"/>
      <c r="M88" s="28"/>
    </row>
    <row r="89" spans="1:13">
      <c r="A89" s="1">
        <f t="shared" si="6"/>
        <v>301</v>
      </c>
      <c r="B89" s="181" t="str">
        <f t="shared" si="10"/>
        <v>February</v>
      </c>
      <c r="C89" s="156">
        <f>'1-BaseTRR'!$F$2+1</f>
        <v>2023</v>
      </c>
      <c r="D89" s="468">
        <v>46994964.559759714</v>
      </c>
      <c r="E89" s="198">
        <f>E88+D89</f>
        <v>85660118.68168965</v>
      </c>
      <c r="F89" s="198">
        <f>E89*'12-DepRates'!$N$21/12</f>
        <v>204485.3925124151</v>
      </c>
      <c r="G89" s="468">
        <v>3727301.4561146153</v>
      </c>
      <c r="H89" s="198">
        <f>H88+F89-G89</f>
        <v>-6193364.2833728902</v>
      </c>
      <c r="I89" s="198">
        <f t="shared" ref="I89:I110" si="12">E89-H89</f>
        <v>91853482.965062544</v>
      </c>
      <c r="J89" s="1">
        <f t="shared" si="11"/>
        <v>301</v>
      </c>
      <c r="K89" s="193"/>
      <c r="L89" s="194"/>
      <c r="M89" s="28"/>
    </row>
    <row r="90" spans="1:13">
      <c r="A90" s="1">
        <f t="shared" si="6"/>
        <v>302</v>
      </c>
      <c r="B90" s="181" t="str">
        <f t="shared" si="10"/>
        <v>March</v>
      </c>
      <c r="C90" s="156">
        <f>'1-BaseTRR'!$F$2+1</f>
        <v>2023</v>
      </c>
      <c r="D90" s="468">
        <v>40997195.88931448</v>
      </c>
      <c r="E90" s="198">
        <f t="shared" ref="E90:E111" si="13">E89+D90</f>
        <v>126657314.57100412</v>
      </c>
      <c r="F90" s="198">
        <f>E90*'12-DepRates'!$N$21/12</f>
        <v>302352.72940564336</v>
      </c>
      <c r="G90" s="468">
        <v>1960374.1649422711</v>
      </c>
      <c r="H90" s="198">
        <f t="shared" ref="H90:H111" si="14">H89+F90-G90</f>
        <v>-7851385.7189095179</v>
      </c>
      <c r="I90" s="198">
        <f t="shared" si="12"/>
        <v>134508700.28991365</v>
      </c>
      <c r="J90" s="1">
        <f t="shared" si="11"/>
        <v>302</v>
      </c>
      <c r="K90" s="193"/>
      <c r="L90" s="194"/>
      <c r="M90" s="28"/>
    </row>
    <row r="91" spans="1:13">
      <c r="A91" s="1">
        <f t="shared" si="6"/>
        <v>303</v>
      </c>
      <c r="B91" s="181" t="str">
        <f t="shared" si="10"/>
        <v>April</v>
      </c>
      <c r="C91" s="156">
        <f>'1-BaseTRR'!$F$2+1</f>
        <v>2023</v>
      </c>
      <c r="D91" s="468">
        <v>48246016.515471399</v>
      </c>
      <c r="E91" s="198">
        <f t="shared" si="13"/>
        <v>174903331.08647552</v>
      </c>
      <c r="F91" s="198">
        <f>E91*'12-DepRates'!$N$21/12</f>
        <v>417524.24418006156</v>
      </c>
      <c r="G91" s="468">
        <v>3227559.3689458072</v>
      </c>
      <c r="H91" s="198">
        <f>H90+F91-G91</f>
        <v>-10661420.843675263</v>
      </c>
      <c r="I91" s="198">
        <f t="shared" si="12"/>
        <v>185564751.93015078</v>
      </c>
      <c r="J91" s="1">
        <f t="shared" si="11"/>
        <v>303</v>
      </c>
      <c r="K91" s="193"/>
      <c r="L91" s="194"/>
      <c r="M91" s="28"/>
    </row>
    <row r="92" spans="1:13">
      <c r="A92" s="1">
        <f t="shared" si="6"/>
        <v>304</v>
      </c>
      <c r="B92" s="181" t="str">
        <f t="shared" si="10"/>
        <v>May</v>
      </c>
      <c r="C92" s="156">
        <f>'1-BaseTRR'!$F$2+1</f>
        <v>2023</v>
      </c>
      <c r="D92" s="468">
        <v>53403887.480250195</v>
      </c>
      <c r="E92" s="198">
        <f t="shared" si="13"/>
        <v>228307218.56672573</v>
      </c>
      <c r="F92" s="198">
        <f>E92*'12-DepRates'!$N$21/12</f>
        <v>545008.48143249133</v>
      </c>
      <c r="G92" s="468">
        <v>3292277.4363410547</v>
      </c>
      <c r="H92" s="198">
        <f t="shared" si="14"/>
        <v>-13408689.798583826</v>
      </c>
      <c r="I92" s="198">
        <f t="shared" si="12"/>
        <v>241715908.36530957</v>
      </c>
      <c r="J92" s="1">
        <f t="shared" si="11"/>
        <v>304</v>
      </c>
      <c r="K92" s="193"/>
      <c r="L92" s="194"/>
      <c r="M92" s="28"/>
    </row>
    <row r="93" spans="1:13">
      <c r="A93" s="1">
        <f t="shared" si="6"/>
        <v>305</v>
      </c>
      <c r="B93" s="181" t="str">
        <f t="shared" si="10"/>
        <v xml:space="preserve">June </v>
      </c>
      <c r="C93" s="156">
        <f>'1-BaseTRR'!$F$2+1</f>
        <v>2023</v>
      </c>
      <c r="D93" s="468">
        <v>116212742.5663428</v>
      </c>
      <c r="E93" s="198">
        <f t="shared" si="13"/>
        <v>344519961.13306856</v>
      </c>
      <c r="F93" s="198">
        <f>E93*'12-DepRates'!$N$21/12</f>
        <v>822428.22640072368</v>
      </c>
      <c r="G93" s="468">
        <v>6612437.3109417558</v>
      </c>
      <c r="H93" s="198">
        <f t="shared" si="14"/>
        <v>-19198698.883124858</v>
      </c>
      <c r="I93" s="198">
        <f>E93-H93</f>
        <v>363718660.01619339</v>
      </c>
      <c r="J93" s="1">
        <f t="shared" si="11"/>
        <v>305</v>
      </c>
      <c r="K93" s="193"/>
      <c r="L93" s="194"/>
      <c r="M93" s="28"/>
    </row>
    <row r="94" spans="1:13">
      <c r="A94" s="1">
        <f t="shared" si="6"/>
        <v>306</v>
      </c>
      <c r="B94" s="181" t="str">
        <f t="shared" si="10"/>
        <v>July</v>
      </c>
      <c r="C94" s="156">
        <f>'1-BaseTRR'!$F$2+1</f>
        <v>2023</v>
      </c>
      <c r="D94" s="468">
        <v>23328420.350015111</v>
      </c>
      <c r="E94" s="198">
        <f t="shared" si="13"/>
        <v>367848381.48308367</v>
      </c>
      <c r="F94" s="198">
        <f>E94*'12-DepRates'!$N$21/12</f>
        <v>878117.16619420936</v>
      </c>
      <c r="G94" s="468">
        <v>1726728.6247332285</v>
      </c>
      <c r="H94" s="198">
        <f t="shared" si="14"/>
        <v>-20047310.341663878</v>
      </c>
      <c r="I94" s="198">
        <f t="shared" si="12"/>
        <v>387895691.82474756</v>
      </c>
      <c r="J94" s="1">
        <f t="shared" si="11"/>
        <v>306</v>
      </c>
      <c r="K94" s="193"/>
      <c r="L94" s="194"/>
      <c r="M94" s="28"/>
    </row>
    <row r="95" spans="1:13">
      <c r="A95" s="1">
        <f t="shared" si="6"/>
        <v>307</v>
      </c>
      <c r="B95" s="181" t="str">
        <f t="shared" si="10"/>
        <v>August</v>
      </c>
      <c r="C95" s="156">
        <f>'1-BaseTRR'!$F$2+1</f>
        <v>2023</v>
      </c>
      <c r="D95" s="468">
        <v>37545713.280282132</v>
      </c>
      <c r="E95" s="198">
        <f t="shared" si="13"/>
        <v>405394094.76336581</v>
      </c>
      <c r="F95" s="198">
        <f>E95*'12-DepRates'!$N$21/12</f>
        <v>967745.22223049181</v>
      </c>
      <c r="G95" s="468">
        <v>3429287.6293052472</v>
      </c>
      <c r="H95" s="198">
        <f t="shared" si="14"/>
        <v>-22508852.748738635</v>
      </c>
      <c r="I95" s="198">
        <f t="shared" si="12"/>
        <v>427902947.51210445</v>
      </c>
      <c r="J95" s="1">
        <f t="shared" si="11"/>
        <v>307</v>
      </c>
      <c r="K95" s="193"/>
      <c r="L95" s="194"/>
      <c r="M95" s="28"/>
    </row>
    <row r="96" spans="1:13">
      <c r="A96" s="1">
        <f t="shared" si="6"/>
        <v>308</v>
      </c>
      <c r="B96" s="181" t="str">
        <f t="shared" si="10"/>
        <v>September</v>
      </c>
      <c r="C96" s="156">
        <f>'1-BaseTRR'!$F$2+1</f>
        <v>2023</v>
      </c>
      <c r="D96" s="468">
        <v>80226380.245244339</v>
      </c>
      <c r="E96" s="198">
        <f t="shared" si="13"/>
        <v>485620475.00861013</v>
      </c>
      <c r="F96" s="198">
        <f>E96*'12-DepRates'!$N$21/12</f>
        <v>1159259.3493035582</v>
      </c>
      <c r="G96" s="468">
        <v>3090836.3489290364</v>
      </c>
      <c r="H96" s="198">
        <f t="shared" si="14"/>
        <v>-24440429.748364113</v>
      </c>
      <c r="I96" s="198">
        <f t="shared" si="12"/>
        <v>510060904.75697422</v>
      </c>
      <c r="J96" s="1">
        <f t="shared" si="11"/>
        <v>308</v>
      </c>
      <c r="K96" s="193"/>
      <c r="L96" s="194"/>
      <c r="M96" s="28"/>
    </row>
    <row r="97" spans="1:13">
      <c r="A97" s="1">
        <f t="shared" si="6"/>
        <v>309</v>
      </c>
      <c r="B97" s="181" t="str">
        <f t="shared" si="10"/>
        <v xml:space="preserve">October </v>
      </c>
      <c r="C97" s="156">
        <f>'1-BaseTRR'!$F$2+1</f>
        <v>2023</v>
      </c>
      <c r="D97" s="468">
        <v>68798291.318788111</v>
      </c>
      <c r="E97" s="198">
        <f t="shared" si="13"/>
        <v>554418766.3273983</v>
      </c>
      <c r="F97" s="198">
        <f>E97*'12-DepRates'!$N$21/12</f>
        <v>1323492.6683908575</v>
      </c>
      <c r="G97" s="468">
        <v>3110150.8537838282</v>
      </c>
      <c r="H97" s="198">
        <f t="shared" si="14"/>
        <v>-26227087.933757082</v>
      </c>
      <c r="I97" s="198">
        <f t="shared" si="12"/>
        <v>580645854.26115537</v>
      </c>
      <c r="J97" s="1">
        <f t="shared" si="11"/>
        <v>309</v>
      </c>
      <c r="K97" s="193"/>
      <c r="L97" s="194"/>
      <c r="M97" s="28"/>
    </row>
    <row r="98" spans="1:13">
      <c r="A98" s="1">
        <f t="shared" si="6"/>
        <v>310</v>
      </c>
      <c r="B98" s="181" t="str">
        <f t="shared" si="10"/>
        <v>November</v>
      </c>
      <c r="C98" s="156">
        <f>'1-BaseTRR'!$F$2+1</f>
        <v>2023</v>
      </c>
      <c r="D98" s="468">
        <v>31539459.717647847</v>
      </c>
      <c r="E98" s="198">
        <f t="shared" si="13"/>
        <v>585958226.04504609</v>
      </c>
      <c r="F98" s="198">
        <f>E98*'12-DepRates'!$N$21/12</f>
        <v>1398782.7672052002</v>
      </c>
      <c r="G98" s="468">
        <v>2735472.9380707787</v>
      </c>
      <c r="H98" s="198">
        <f t="shared" si="14"/>
        <v>-27563778.104622658</v>
      </c>
      <c r="I98" s="198">
        <f t="shared" si="12"/>
        <v>613522004.14966869</v>
      </c>
      <c r="J98" s="1">
        <f t="shared" si="11"/>
        <v>310</v>
      </c>
      <c r="K98" s="193"/>
      <c r="L98" s="194"/>
      <c r="M98" s="28"/>
    </row>
    <row r="99" spans="1:13">
      <c r="A99" s="1">
        <f t="shared" si="6"/>
        <v>311</v>
      </c>
      <c r="B99" s="181" t="str">
        <f t="shared" si="10"/>
        <v>December</v>
      </c>
      <c r="C99" s="156">
        <f>'1-BaseTRR'!$F$2+1</f>
        <v>2023</v>
      </c>
      <c r="D99" s="468">
        <v>72554146.939071789</v>
      </c>
      <c r="E99" s="198">
        <f t="shared" si="13"/>
        <v>658512372.98411787</v>
      </c>
      <c r="F99" s="198">
        <f>E99*'12-DepRates'!$N$21/12</f>
        <v>1571981.9577219749</v>
      </c>
      <c r="G99" s="468">
        <v>2606469.4913910013</v>
      </c>
      <c r="H99" s="198">
        <f t="shared" si="14"/>
        <v>-28598265.638291687</v>
      </c>
      <c r="I99" s="198">
        <f t="shared" si="12"/>
        <v>687110638.62240958</v>
      </c>
      <c r="J99" s="1">
        <f t="shared" si="11"/>
        <v>311</v>
      </c>
      <c r="K99" s="193"/>
      <c r="L99" s="194"/>
      <c r="M99" s="28"/>
    </row>
    <row r="100" spans="1:13">
      <c r="A100" s="1">
        <f t="shared" si="6"/>
        <v>312</v>
      </c>
      <c r="B100" s="181" t="str">
        <f t="shared" si="10"/>
        <v>January</v>
      </c>
      <c r="C100" s="156">
        <f>'1-BaseTRR'!$F$1</f>
        <v>2024</v>
      </c>
      <c r="D100" s="468">
        <v>36928444.558848783</v>
      </c>
      <c r="E100" s="198">
        <f t="shared" si="13"/>
        <v>695440817.5429666</v>
      </c>
      <c r="F100" s="198">
        <f>E100*'12-DepRates'!$N$21/12</f>
        <v>1660136.4874693556</v>
      </c>
      <c r="G100" s="468">
        <v>2861213.3747425703</v>
      </c>
      <c r="H100" s="198">
        <f t="shared" si="14"/>
        <v>-29799342.525564902</v>
      </c>
      <c r="I100" s="198">
        <f t="shared" si="12"/>
        <v>725240160.06853151</v>
      </c>
      <c r="J100" s="1">
        <f t="shared" si="11"/>
        <v>312</v>
      </c>
      <c r="K100" s="193"/>
      <c r="L100" s="194"/>
      <c r="M100" s="28"/>
    </row>
    <row r="101" spans="1:13">
      <c r="A101" s="1">
        <f t="shared" si="6"/>
        <v>313</v>
      </c>
      <c r="B101" s="181" t="str">
        <f t="shared" si="10"/>
        <v>February</v>
      </c>
      <c r="C101" s="184">
        <f>'1-BaseTRR'!$F$1</f>
        <v>2024</v>
      </c>
      <c r="D101" s="468">
        <v>44028585.324098639</v>
      </c>
      <c r="E101" s="198">
        <f t="shared" si="13"/>
        <v>739469402.86706519</v>
      </c>
      <c r="F101" s="198">
        <f>E101*'12-DepRates'!$N$21/12</f>
        <v>1765240.2707739326</v>
      </c>
      <c r="G101" s="468">
        <v>2809093.4641630175</v>
      </c>
      <c r="H101" s="198">
        <f t="shared" si="14"/>
        <v>-30843195.718953986</v>
      </c>
      <c r="I101" s="198">
        <f t="shared" si="12"/>
        <v>770312598.58601916</v>
      </c>
      <c r="J101" s="1">
        <f t="shared" si="11"/>
        <v>313</v>
      </c>
      <c r="K101" s="193"/>
      <c r="L101" s="194"/>
      <c r="M101" s="28"/>
    </row>
    <row r="102" spans="1:13">
      <c r="A102" s="1">
        <f t="shared" si="6"/>
        <v>314</v>
      </c>
      <c r="B102" s="181" t="str">
        <f t="shared" si="10"/>
        <v>March</v>
      </c>
      <c r="C102" s="184">
        <f>'1-BaseTRR'!$F$1</f>
        <v>2024</v>
      </c>
      <c r="D102" s="468">
        <v>47567371.274749488</v>
      </c>
      <c r="E102" s="198">
        <f t="shared" si="13"/>
        <v>787036774.14181471</v>
      </c>
      <c r="F102" s="198">
        <f>E102*'12-DepRates'!$N$21/12</f>
        <v>1878791.7429829023</v>
      </c>
      <c r="G102" s="468">
        <v>2769652.9802943352</v>
      </c>
      <c r="H102" s="198">
        <f t="shared" si="14"/>
        <v>-31734056.95626542</v>
      </c>
      <c r="I102" s="198">
        <f t="shared" si="12"/>
        <v>818770831.09808016</v>
      </c>
      <c r="J102" s="1">
        <f t="shared" si="11"/>
        <v>314</v>
      </c>
      <c r="K102" s="193"/>
      <c r="L102" s="194"/>
      <c r="M102" s="28"/>
    </row>
    <row r="103" spans="1:13">
      <c r="A103" s="1">
        <f t="shared" si="6"/>
        <v>315</v>
      </c>
      <c r="B103" s="181" t="str">
        <f t="shared" si="10"/>
        <v>April</v>
      </c>
      <c r="C103" s="184">
        <f>'1-BaseTRR'!$F$1</f>
        <v>2024</v>
      </c>
      <c r="D103" s="468">
        <v>59025234.100590721</v>
      </c>
      <c r="E103" s="198">
        <f t="shared" si="13"/>
        <v>846062008.24240541</v>
      </c>
      <c r="F103" s="198">
        <f>E103*'12-DepRates'!$N$21/12</f>
        <v>2019695.0985811763</v>
      </c>
      <c r="G103" s="468">
        <v>2997320.153332226</v>
      </c>
      <c r="H103" s="198">
        <f t="shared" si="14"/>
        <v>-32711682.011016469</v>
      </c>
      <c r="I103" s="198">
        <f t="shared" si="12"/>
        <v>878773690.2534219</v>
      </c>
      <c r="J103" s="1">
        <f t="shared" si="11"/>
        <v>315</v>
      </c>
      <c r="K103" s="193"/>
      <c r="L103" s="194"/>
      <c r="M103" s="28"/>
    </row>
    <row r="104" spans="1:13">
      <c r="A104" s="1">
        <f t="shared" si="6"/>
        <v>316</v>
      </c>
      <c r="B104" s="181" t="str">
        <f t="shared" si="10"/>
        <v>May</v>
      </c>
      <c r="C104" s="184">
        <f>'1-BaseTRR'!$F$1</f>
        <v>2024</v>
      </c>
      <c r="D104" s="468">
        <v>65055038.586894654</v>
      </c>
      <c r="E104" s="198">
        <f t="shared" si="13"/>
        <v>911117046.82930005</v>
      </c>
      <c r="F104" s="198">
        <f>E104*'12-DepRates'!$N$21/12</f>
        <v>2174992.6314947633</v>
      </c>
      <c r="G104" s="468">
        <v>3079102.1919116098</v>
      </c>
      <c r="H104" s="198">
        <f t="shared" si="14"/>
        <v>-33615791.571433313</v>
      </c>
      <c r="I104" s="198">
        <f t="shared" si="12"/>
        <v>944732838.40073335</v>
      </c>
      <c r="J104" s="1">
        <f t="shared" si="11"/>
        <v>316</v>
      </c>
      <c r="K104" s="193"/>
      <c r="L104" s="194"/>
      <c r="M104" s="28"/>
    </row>
    <row r="105" spans="1:13">
      <c r="A105" s="1">
        <f t="shared" si="6"/>
        <v>317</v>
      </c>
      <c r="B105" s="181" t="str">
        <f t="shared" si="10"/>
        <v xml:space="preserve">June </v>
      </c>
      <c r="C105" s="184">
        <f>'1-BaseTRR'!$F$1</f>
        <v>2024</v>
      </c>
      <c r="D105" s="468">
        <v>43281671.695599824</v>
      </c>
      <c r="E105" s="198">
        <f t="shared" si="13"/>
        <v>954398718.52489984</v>
      </c>
      <c r="F105" s="198">
        <f>E105*'12-DepRates'!$N$21/12</f>
        <v>2278313.4038854283</v>
      </c>
      <c r="G105" s="468">
        <v>2946167.0710063837</v>
      </c>
      <c r="H105" s="198">
        <f t="shared" si="14"/>
        <v>-34283645.238554269</v>
      </c>
      <c r="I105" s="198">
        <f t="shared" si="12"/>
        <v>988682363.76345408</v>
      </c>
      <c r="J105" s="1">
        <f t="shared" si="11"/>
        <v>317</v>
      </c>
      <c r="K105" s="193"/>
      <c r="L105" s="194"/>
      <c r="M105" s="28"/>
    </row>
    <row r="106" spans="1:13">
      <c r="A106" s="1">
        <f t="shared" si="6"/>
        <v>318</v>
      </c>
      <c r="B106" s="181" t="str">
        <f t="shared" si="10"/>
        <v>July</v>
      </c>
      <c r="C106" s="184">
        <f>'1-BaseTRR'!$F$1</f>
        <v>2024</v>
      </c>
      <c r="D106" s="468">
        <v>61750728.406788483</v>
      </c>
      <c r="E106" s="198">
        <f t="shared" si="13"/>
        <v>1016149446.9316883</v>
      </c>
      <c r="F106" s="198">
        <f>E106*'12-DepRates'!$N$21/12</f>
        <v>2425722.9817674258</v>
      </c>
      <c r="G106" s="468">
        <v>2739100.0309029622</v>
      </c>
      <c r="H106" s="198">
        <f t="shared" si="14"/>
        <v>-34597022.287689805</v>
      </c>
      <c r="I106" s="198">
        <f t="shared" si="12"/>
        <v>1050746469.2193781</v>
      </c>
      <c r="J106" s="1">
        <f t="shared" si="11"/>
        <v>318</v>
      </c>
      <c r="K106" s="193"/>
      <c r="L106" s="194"/>
      <c r="M106" s="28"/>
    </row>
    <row r="107" spans="1:13">
      <c r="A107" s="1">
        <f t="shared" si="6"/>
        <v>319</v>
      </c>
      <c r="B107" s="181" t="str">
        <f t="shared" si="10"/>
        <v>August</v>
      </c>
      <c r="C107" s="184">
        <f>'1-BaseTRR'!$F$1</f>
        <v>2024</v>
      </c>
      <c r="D107" s="468">
        <v>50629278.965651616</v>
      </c>
      <c r="E107" s="198">
        <f t="shared" si="13"/>
        <v>1066778725.8973399</v>
      </c>
      <c r="F107" s="198">
        <f>E107*'12-DepRates'!$N$21/12</f>
        <v>2546583.7526984476</v>
      </c>
      <c r="G107" s="468">
        <v>2930752.2340372633</v>
      </c>
      <c r="H107" s="198">
        <f t="shared" si="14"/>
        <v>-34981190.769028619</v>
      </c>
      <c r="I107" s="198">
        <f t="shared" si="12"/>
        <v>1101759916.6663685</v>
      </c>
      <c r="J107" s="1">
        <f t="shared" si="11"/>
        <v>319</v>
      </c>
      <c r="K107" s="193"/>
      <c r="L107" s="194"/>
      <c r="M107" s="28"/>
    </row>
    <row r="108" spans="1:13">
      <c r="A108" s="1">
        <f t="shared" si="6"/>
        <v>320</v>
      </c>
      <c r="B108" s="181" t="str">
        <f t="shared" si="10"/>
        <v>September</v>
      </c>
      <c r="C108" s="184">
        <f>'1-BaseTRR'!$F$1</f>
        <v>2024</v>
      </c>
      <c r="D108" s="468">
        <v>41674714.610594146</v>
      </c>
      <c r="E108" s="198">
        <f t="shared" si="13"/>
        <v>1108453440.5079341</v>
      </c>
      <c r="F108" s="198">
        <f>E108*'12-DepRates'!$N$21/12</f>
        <v>2646068.4429620374</v>
      </c>
      <c r="G108" s="468">
        <v>3221801.8946791748</v>
      </c>
      <c r="H108" s="198">
        <f t="shared" si="14"/>
        <v>-35556924.220745757</v>
      </c>
      <c r="I108" s="198">
        <f t="shared" si="12"/>
        <v>1144010364.7286799</v>
      </c>
      <c r="J108" s="1">
        <f t="shared" si="11"/>
        <v>320</v>
      </c>
      <c r="K108" s="193"/>
      <c r="L108" s="194"/>
      <c r="M108" s="28"/>
    </row>
    <row r="109" spans="1:13">
      <c r="A109" s="1">
        <f t="shared" si="6"/>
        <v>321</v>
      </c>
      <c r="B109" s="181" t="str">
        <f t="shared" si="10"/>
        <v>October</v>
      </c>
      <c r="C109" s="184">
        <f>'1-BaseTRR'!$F$1</f>
        <v>2024</v>
      </c>
      <c r="D109" s="468">
        <v>57676660.021308333</v>
      </c>
      <c r="E109" s="198">
        <f t="shared" si="13"/>
        <v>1166130100.5292425</v>
      </c>
      <c r="F109" s="198">
        <f>E109*'12-DepRates'!$N$21/12</f>
        <v>2783752.5209760852</v>
      </c>
      <c r="G109" s="468">
        <v>3376584.3715441786</v>
      </c>
      <c r="H109" s="198">
        <f t="shared" si="14"/>
        <v>-36149756.071313851</v>
      </c>
      <c r="I109" s="198">
        <f t="shared" si="12"/>
        <v>1202279856.6005564</v>
      </c>
      <c r="J109" s="1">
        <f t="shared" si="11"/>
        <v>321</v>
      </c>
      <c r="K109" s="193"/>
      <c r="L109" s="194"/>
      <c r="M109" s="28"/>
    </row>
    <row r="110" spans="1:13">
      <c r="A110" s="1">
        <f t="shared" si="6"/>
        <v>322</v>
      </c>
      <c r="B110" s="181" t="str">
        <f t="shared" si="10"/>
        <v>November</v>
      </c>
      <c r="C110" s="184">
        <f>'1-BaseTRR'!$F$1</f>
        <v>2024</v>
      </c>
      <c r="D110" s="468">
        <v>88708724.974492311</v>
      </c>
      <c r="E110" s="198">
        <f t="shared" si="13"/>
        <v>1254838825.5037348</v>
      </c>
      <c r="F110" s="198">
        <f>E110*'12-DepRates'!$N$21/12</f>
        <v>2995515.4594923309</v>
      </c>
      <c r="G110" s="468">
        <v>3035526.0152847525</v>
      </c>
      <c r="H110" s="198">
        <f t="shared" si="14"/>
        <v>-36189766.627106272</v>
      </c>
      <c r="I110" s="198">
        <f t="shared" si="12"/>
        <v>1291028592.130841</v>
      </c>
      <c r="J110" s="1">
        <f t="shared" si="11"/>
        <v>322</v>
      </c>
      <c r="K110" s="193"/>
      <c r="L110" s="194"/>
      <c r="M110" s="28"/>
    </row>
    <row r="111" spans="1:13">
      <c r="A111" s="1">
        <f t="shared" si="6"/>
        <v>323</v>
      </c>
      <c r="B111" s="189" t="str">
        <f t="shared" si="10"/>
        <v>December</v>
      </c>
      <c r="C111" s="186">
        <f>'1-BaseTRR'!$F$1</f>
        <v>2024</v>
      </c>
      <c r="D111" s="472">
        <v>178387027.8825649</v>
      </c>
      <c r="E111" s="467">
        <f t="shared" si="13"/>
        <v>1433225853.3862996</v>
      </c>
      <c r="F111" s="467">
        <f>E111*'12-DepRates'!$N$21/12</f>
        <v>3421355.8853180152</v>
      </c>
      <c r="G111" s="472">
        <v>2429124.56767854</v>
      </c>
      <c r="H111" s="467">
        <f t="shared" si="14"/>
        <v>-35197535.309466794</v>
      </c>
      <c r="I111" s="467">
        <f>E111-H111</f>
        <v>1468423388.6957664</v>
      </c>
      <c r="J111" s="1">
        <f t="shared" si="11"/>
        <v>323</v>
      </c>
      <c r="K111" s="193"/>
      <c r="L111" s="194"/>
      <c r="M111" s="28"/>
    </row>
    <row r="112" spans="1:13">
      <c r="A112" s="1">
        <f t="shared" si="6"/>
        <v>324</v>
      </c>
      <c r="B112" s="177"/>
      <c r="C112" s="1" t="s">
        <v>409</v>
      </c>
      <c r="D112" s="198"/>
      <c r="E112" s="199">
        <f>SUM(E99:E111)/13</f>
        <v>972124117.99144685</v>
      </c>
      <c r="F112" s="198"/>
      <c r="G112" s="198"/>
      <c r="H112" s="198"/>
      <c r="I112" s="199">
        <f>SUM(I99:I111)/13</f>
        <v>1005528592.9872493</v>
      </c>
      <c r="J112" s="1">
        <f t="shared" si="11"/>
        <v>324</v>
      </c>
    </row>
    <row r="113" spans="1:10">
      <c r="A113" s="1"/>
      <c r="D113" s="195"/>
      <c r="F113" s="183"/>
      <c r="I113" s="183"/>
      <c r="J113" s="1"/>
    </row>
    <row r="114" spans="1:10">
      <c r="A114" s="1"/>
      <c r="J114" s="1"/>
    </row>
    <row r="115" spans="1:10">
      <c r="A115" s="1"/>
      <c r="B115" s="16" t="s">
        <v>127</v>
      </c>
      <c r="J115" s="1"/>
    </row>
    <row r="116" spans="1:10">
      <c r="A116" s="1"/>
      <c r="B116" s="2" t="s">
        <v>1876</v>
      </c>
      <c r="C116" s="2"/>
      <c r="D116" s="2"/>
      <c r="E116" s="2"/>
      <c r="F116" s="2"/>
      <c r="G116" s="2"/>
      <c r="H116" s="2"/>
      <c r="J116" s="1"/>
    </row>
    <row r="117" spans="1:10">
      <c r="A117" s="1"/>
      <c r="B117" s="2" t="s">
        <v>1907</v>
      </c>
      <c r="C117" s="2"/>
      <c r="D117" s="2"/>
      <c r="E117" s="2"/>
      <c r="F117" s="2"/>
      <c r="G117" s="2"/>
      <c r="H117" s="2"/>
      <c r="J117" s="1"/>
    </row>
    <row r="118" spans="1:10">
      <c r="A118" s="1"/>
      <c r="B118" s="2" t="s">
        <v>1167</v>
      </c>
      <c r="C118" s="2"/>
      <c r="D118" s="2"/>
      <c r="E118" s="2"/>
      <c r="F118" s="2"/>
      <c r="G118" s="2"/>
      <c r="H118" s="2"/>
      <c r="J118" s="1"/>
    </row>
    <row r="119" spans="1:10">
      <c r="A119" s="1"/>
      <c r="C119" s="198"/>
      <c r="D119" s="198"/>
      <c r="E119" s="29"/>
      <c r="J119" s="1"/>
    </row>
    <row r="120" spans="1:10">
      <c r="A120" s="1"/>
      <c r="B120" s="198"/>
      <c r="C120" s="198"/>
      <c r="D120" s="198"/>
      <c r="E120" s="29"/>
      <c r="J120" s="1"/>
    </row>
    <row r="121" spans="1:10">
      <c r="A121" s="1"/>
      <c r="B121" s="198"/>
      <c r="C121" s="198"/>
      <c r="D121" s="198"/>
      <c r="E121" s="29"/>
      <c r="H121" s="198"/>
      <c r="J121" s="1"/>
    </row>
    <row r="122" spans="1:10">
      <c r="A122" s="1"/>
      <c r="B122" s="198"/>
      <c r="C122" s="198"/>
      <c r="D122" s="198"/>
      <c r="E122" s="29"/>
      <c r="J122" s="1"/>
    </row>
    <row r="123" spans="1:10">
      <c r="A123" s="1"/>
      <c r="B123" s="198"/>
      <c r="C123" s="198"/>
      <c r="D123" s="198"/>
      <c r="E123" s="29"/>
      <c r="J123" s="1"/>
    </row>
    <row r="124" spans="1:10">
      <c r="A124" s="1"/>
      <c r="B124" s="198"/>
      <c r="C124" s="198"/>
      <c r="D124" s="198"/>
      <c r="E124" s="29"/>
      <c r="J124" s="1"/>
    </row>
    <row r="125" spans="1:10">
      <c r="A125" s="1"/>
      <c r="B125" s="198"/>
      <c r="C125" s="198"/>
      <c r="D125" s="198"/>
      <c r="E125" s="29"/>
      <c r="J125" s="1"/>
    </row>
    <row r="126" spans="1:10">
      <c r="A126" s="1"/>
      <c r="B126" s="198"/>
      <c r="C126" s="198"/>
      <c r="D126" s="198"/>
      <c r="E126" s="29"/>
      <c r="J126" s="1"/>
    </row>
    <row r="127" spans="1:10">
      <c r="A127" s="1"/>
      <c r="B127" s="199"/>
      <c r="C127" s="199"/>
      <c r="D127" s="199"/>
      <c r="E127" s="200"/>
      <c r="J127" s="1"/>
    </row>
    <row r="128" spans="1:10">
      <c r="A128" s="1"/>
      <c r="B128" s="197"/>
      <c r="J128" s="1"/>
    </row>
  </sheetData>
  <mergeCells count="3">
    <mergeCell ref="B13:C13"/>
    <mergeCell ref="B50:C50"/>
    <mergeCell ref="B86:C86"/>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6" max="16383" man="1"/>
  </rowBreaks>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8"/>
  <sheetViews>
    <sheetView tabSelected="1" view="pageBreakPreview" topLeftCell="A108" zoomScale="55" zoomScaleNormal="75" zoomScaleSheetLayoutView="55" zoomScalePageLayoutView="55" workbookViewId="0">
      <selection activeCell="P108" sqref="P108"/>
    </sheetView>
  </sheetViews>
  <sheetFormatPr defaultColWidth="8.81640625" defaultRowHeight="14.5"/>
  <cols>
    <col min="1" max="1" width="6.7265625" bestFit="1" customWidth="1"/>
    <col min="2" max="3" width="10.54296875" customWidth="1"/>
    <col min="4" max="4" width="18.81640625" customWidth="1"/>
    <col min="5" max="5" width="18" customWidth="1"/>
    <col min="6" max="6" width="18.26953125" customWidth="1"/>
    <col min="7" max="7" width="16.7265625" customWidth="1"/>
    <col min="8" max="8" width="19" customWidth="1"/>
    <col min="9" max="9" width="16.7265625" customWidth="1"/>
    <col min="10" max="11" width="18.1796875" customWidth="1"/>
    <col min="12" max="12" width="18" customWidth="1"/>
    <col min="13" max="15" width="16.7265625" customWidth="1"/>
    <col min="16" max="16" width="21.54296875" bestFit="1" customWidth="1"/>
    <col min="17" max="17" width="18.81640625" customWidth="1"/>
    <col min="18" max="18" width="6.7265625" bestFit="1" customWidth="1"/>
    <col min="19" max="19" width="8.81640625" customWidth="1"/>
  </cols>
  <sheetData>
    <row r="1" spans="1:18">
      <c r="B1" s="12" t="s">
        <v>422</v>
      </c>
      <c r="H1" s="143"/>
      <c r="J1" s="17"/>
      <c r="O1" s="8"/>
      <c r="P1" s="15" t="str">
        <f>CONCATENATE("Prior Year: ",'1-BaseTRR'!$F$2)</f>
        <v>Prior Year: 2022</v>
      </c>
    </row>
    <row r="2" spans="1:18">
      <c r="B2" s="117" t="s">
        <v>196</v>
      </c>
      <c r="C2" s="49"/>
      <c r="D2" s="117"/>
      <c r="J2" s="17"/>
      <c r="O2" s="15"/>
      <c r="P2" s="15"/>
      <c r="Q2" s="15"/>
    </row>
    <row r="3" spans="1:18">
      <c r="B3" s="142"/>
    </row>
    <row r="4" spans="1:18">
      <c r="B4" s="142"/>
    </row>
    <row r="5" spans="1:18">
      <c r="B5" s="57" t="s">
        <v>423</v>
      </c>
      <c r="C5" s="57"/>
      <c r="D5" s="54"/>
      <c r="E5" s="54"/>
      <c r="F5" s="54"/>
      <c r="G5" s="54"/>
      <c r="H5" s="54"/>
      <c r="I5" s="54"/>
      <c r="J5" s="54"/>
      <c r="K5" s="54"/>
      <c r="L5" s="54"/>
      <c r="M5" s="54"/>
      <c r="N5" s="54"/>
      <c r="O5" s="54"/>
      <c r="P5" s="54"/>
      <c r="Q5" s="54"/>
    </row>
    <row r="6" spans="1:18">
      <c r="B6" s="150" t="s">
        <v>424</v>
      </c>
    </row>
    <row r="7" spans="1:18">
      <c r="B7" s="150" t="s">
        <v>1061</v>
      </c>
    </row>
    <row r="9" spans="1:18">
      <c r="A9" s="12"/>
      <c r="D9" s="122" t="s">
        <v>100</v>
      </c>
      <c r="E9" s="122" t="s">
        <v>101</v>
      </c>
      <c r="F9" s="122" t="s">
        <v>102</v>
      </c>
      <c r="G9" s="122" t="s">
        <v>103</v>
      </c>
      <c r="H9" s="122" t="s">
        <v>104</v>
      </c>
      <c r="I9" s="122" t="s">
        <v>105</v>
      </c>
      <c r="J9" s="122" t="s">
        <v>106</v>
      </c>
      <c r="K9" s="122" t="s">
        <v>107</v>
      </c>
      <c r="L9" s="122" t="s">
        <v>108</v>
      </c>
      <c r="M9" s="122" t="s">
        <v>271</v>
      </c>
      <c r="N9" s="122" t="s">
        <v>272</v>
      </c>
      <c r="O9" s="122" t="s">
        <v>273</v>
      </c>
      <c r="P9" s="122" t="s">
        <v>274</v>
      </c>
      <c r="Q9" s="122"/>
      <c r="R9" s="131"/>
    </row>
    <row r="10" spans="1:18" ht="29">
      <c r="A10" s="12"/>
      <c r="D10" s="152" t="s">
        <v>347</v>
      </c>
      <c r="E10" s="152" t="s">
        <v>347</v>
      </c>
      <c r="F10" s="152" t="s">
        <v>347</v>
      </c>
      <c r="G10" s="152" t="s">
        <v>347</v>
      </c>
      <c r="H10" s="152" t="s">
        <v>347</v>
      </c>
      <c r="I10" s="152" t="s">
        <v>347</v>
      </c>
      <c r="J10" s="152" t="s">
        <v>347</v>
      </c>
      <c r="K10" s="152" t="s">
        <v>347</v>
      </c>
      <c r="L10" s="152" t="s">
        <v>347</v>
      </c>
      <c r="M10" s="152" t="s">
        <v>347</v>
      </c>
      <c r="N10" s="152" t="s">
        <v>347</v>
      </c>
      <c r="O10" s="152" t="s">
        <v>347</v>
      </c>
      <c r="P10" s="153" t="s">
        <v>1168</v>
      </c>
      <c r="Q10" s="153"/>
      <c r="R10" s="131"/>
    </row>
    <row r="11" spans="1:18">
      <c r="B11" s="8"/>
      <c r="C11" s="8"/>
      <c r="N11" s="30"/>
      <c r="P11" s="30"/>
      <c r="Q11" s="30"/>
      <c r="R11" s="131"/>
    </row>
    <row r="12" spans="1:18">
      <c r="A12" s="201"/>
      <c r="B12" s="131"/>
      <c r="C12" s="130" t="s">
        <v>348</v>
      </c>
      <c r="D12" s="123">
        <v>350.01</v>
      </c>
      <c r="E12" s="123">
        <v>350.02</v>
      </c>
      <c r="F12" s="123">
        <v>352.01</v>
      </c>
      <c r="G12" s="123">
        <v>352.02</v>
      </c>
      <c r="H12" s="123">
        <v>353.01</v>
      </c>
      <c r="I12" s="123">
        <v>353.02</v>
      </c>
      <c r="J12" s="123">
        <v>354</v>
      </c>
      <c r="K12" s="123">
        <v>355</v>
      </c>
      <c r="L12" s="123">
        <v>356</v>
      </c>
      <c r="M12" s="123">
        <v>357</v>
      </c>
      <c r="N12" s="123">
        <v>358</v>
      </c>
      <c r="O12" s="123">
        <v>359</v>
      </c>
      <c r="R12" s="131"/>
    </row>
    <row r="13" spans="1:18">
      <c r="A13" s="119" t="s">
        <v>124</v>
      </c>
      <c r="B13" s="119" t="s">
        <v>82</v>
      </c>
      <c r="C13" s="119" t="s">
        <v>111</v>
      </c>
      <c r="D13" s="122" t="s">
        <v>349</v>
      </c>
      <c r="E13" s="122" t="s">
        <v>350</v>
      </c>
      <c r="F13" s="122" t="s">
        <v>351</v>
      </c>
      <c r="G13" s="122" t="s">
        <v>352</v>
      </c>
      <c r="H13" s="122" t="s">
        <v>353</v>
      </c>
      <c r="I13" s="122" t="s">
        <v>354</v>
      </c>
      <c r="J13" s="122" t="s">
        <v>355</v>
      </c>
      <c r="K13" s="122" t="s">
        <v>356</v>
      </c>
      <c r="L13" s="122" t="s">
        <v>357</v>
      </c>
      <c r="M13" s="122" t="s">
        <v>358</v>
      </c>
      <c r="N13" s="122" t="s">
        <v>359</v>
      </c>
      <c r="O13" s="122" t="s">
        <v>360</v>
      </c>
      <c r="P13" s="119" t="s">
        <v>361</v>
      </c>
      <c r="Q13" s="119" t="s">
        <v>54</v>
      </c>
      <c r="R13" s="119" t="str">
        <f>A13</f>
        <v>Line</v>
      </c>
    </row>
    <row r="14" spans="1:18">
      <c r="A14" s="131">
        <v>100</v>
      </c>
      <c r="B14" s="150" t="s">
        <v>113</v>
      </c>
      <c r="C14" s="156">
        <f>'1-BaseTRR'!$F$2-1</f>
        <v>2021</v>
      </c>
      <c r="D14" s="474">
        <f t="shared" ref="D14:O26" si="0">+D39+D64</f>
        <v>205288</v>
      </c>
      <c r="E14" s="474">
        <f t="shared" si="0"/>
        <v>76296408</v>
      </c>
      <c r="F14" s="474">
        <f t="shared" si="0"/>
        <v>116187686</v>
      </c>
      <c r="G14" s="474">
        <f t="shared" si="0"/>
        <v>19478026</v>
      </c>
      <c r="H14" s="474">
        <f t="shared" si="0"/>
        <v>1740070041</v>
      </c>
      <c r="I14" s="474">
        <f t="shared" si="0"/>
        <v>16600888</v>
      </c>
      <c r="J14" s="474">
        <f t="shared" si="0"/>
        <v>365099162</v>
      </c>
      <c r="K14" s="474">
        <f t="shared" si="0"/>
        <v>408078566</v>
      </c>
      <c r="L14" s="474">
        <f t="shared" si="0"/>
        <v>520519966</v>
      </c>
      <c r="M14" s="474">
        <f t="shared" si="0"/>
        <v>110427376</v>
      </c>
      <c r="N14" s="474">
        <f t="shared" si="0"/>
        <v>80894385</v>
      </c>
      <c r="O14" s="474">
        <f t="shared" si="0"/>
        <v>10635394</v>
      </c>
      <c r="P14" s="33">
        <f>SUM(D14:O14)</f>
        <v>3464493186</v>
      </c>
      <c r="Q14" s="158" t="str">
        <f>"Line "&amp;A39&amp;" + Line "&amp;A64&amp;""</f>
        <v>Line 200 + Line 300</v>
      </c>
      <c r="R14" s="131">
        <f>A14</f>
        <v>100</v>
      </c>
    </row>
    <row r="15" spans="1:18">
      <c r="A15" s="131">
        <f>A14+1</f>
        <v>101</v>
      </c>
      <c r="B15" s="150" t="s">
        <v>114</v>
      </c>
      <c r="C15" s="156">
        <f>'1-BaseTRR'!$F$2</f>
        <v>2022</v>
      </c>
      <c r="D15" s="474">
        <f t="shared" si="0"/>
        <v>212550.76252211281</v>
      </c>
      <c r="E15" s="474">
        <f t="shared" si="0"/>
        <v>76989471.360293508</v>
      </c>
      <c r="F15" s="474">
        <f t="shared" si="0"/>
        <v>117026328.8686388</v>
      </c>
      <c r="G15" s="474">
        <f t="shared" si="0"/>
        <v>19688396.934919797</v>
      </c>
      <c r="H15" s="474">
        <f t="shared" si="0"/>
        <v>1747225255.959208</v>
      </c>
      <c r="I15" s="474">
        <f t="shared" si="0"/>
        <v>16649264.646742459</v>
      </c>
      <c r="J15" s="474">
        <f t="shared" si="0"/>
        <v>367345385.66621625</v>
      </c>
      <c r="K15" s="474">
        <f t="shared" si="0"/>
        <v>413873365.95358694</v>
      </c>
      <c r="L15" s="474">
        <f t="shared" si="0"/>
        <v>533042882.22941923</v>
      </c>
      <c r="M15" s="474">
        <f t="shared" si="0"/>
        <v>111306271.52282634</v>
      </c>
      <c r="N15" s="474">
        <f t="shared" si="0"/>
        <v>81640669.10363844</v>
      </c>
      <c r="O15" s="474">
        <f t="shared" si="0"/>
        <v>11115299.696738085</v>
      </c>
      <c r="P15" s="33">
        <f t="shared" ref="P15:P26" si="1">SUM(D15:O15)</f>
        <v>3496115142.7047501</v>
      </c>
      <c r="Q15" s="158" t="str">
        <f t="shared" ref="Q15:Q26" si="2">"Line "&amp;A40&amp;" + Line "&amp;A65&amp;""</f>
        <v>Line 201 + Line 301</v>
      </c>
      <c r="R15" s="131">
        <f t="shared" ref="R15:R27" si="3">A15</f>
        <v>101</v>
      </c>
    </row>
    <row r="16" spans="1:18">
      <c r="A16" s="131">
        <f t="shared" ref="A16:A27" si="4">A15+1</f>
        <v>102</v>
      </c>
      <c r="B16" s="150" t="s">
        <v>115</v>
      </c>
      <c r="C16" s="156">
        <f>'1-BaseTRR'!$F$2</f>
        <v>2022</v>
      </c>
      <c r="D16" s="474">
        <f t="shared" si="0"/>
        <v>224963.6689621777</v>
      </c>
      <c r="E16" s="474">
        <f t="shared" si="0"/>
        <v>77308151.878547132</v>
      </c>
      <c r="F16" s="474">
        <f t="shared" si="0"/>
        <v>117572443.9503471</v>
      </c>
      <c r="G16" s="474">
        <f t="shared" si="0"/>
        <v>19843309.415578671</v>
      </c>
      <c r="H16" s="474">
        <f t="shared" si="0"/>
        <v>1777188547.405901</v>
      </c>
      <c r="I16" s="474">
        <f t="shared" si="0"/>
        <v>16697173.899842102</v>
      </c>
      <c r="J16" s="474">
        <f t="shared" si="0"/>
        <v>365434809.833552</v>
      </c>
      <c r="K16" s="474">
        <f t="shared" si="0"/>
        <v>407148957.63587874</v>
      </c>
      <c r="L16" s="474">
        <f t="shared" si="0"/>
        <v>512387502.25364864</v>
      </c>
      <c r="M16" s="474">
        <f t="shared" si="0"/>
        <v>111969053.69261909</v>
      </c>
      <c r="N16" s="474">
        <f t="shared" si="0"/>
        <v>82124935.112470239</v>
      </c>
      <c r="O16" s="474">
        <f t="shared" si="0"/>
        <v>11374237.042596474</v>
      </c>
      <c r="P16" s="33">
        <f t="shared" si="1"/>
        <v>3499274085.7899427</v>
      </c>
      <c r="Q16" s="158" t="str">
        <f t="shared" si="2"/>
        <v>Line 202 + Line 302</v>
      </c>
      <c r="R16" s="131">
        <f t="shared" si="3"/>
        <v>102</v>
      </c>
    </row>
    <row r="17" spans="1:18">
      <c r="A17" s="131">
        <f t="shared" si="4"/>
        <v>103</v>
      </c>
      <c r="B17" s="150" t="s">
        <v>116</v>
      </c>
      <c r="C17" s="156">
        <f>'1-BaseTRR'!$F$2</f>
        <v>2022</v>
      </c>
      <c r="D17" s="474">
        <f t="shared" si="0"/>
        <v>223632.4772040541</v>
      </c>
      <c r="E17" s="474">
        <f t="shared" si="0"/>
        <v>77627243.453952074</v>
      </c>
      <c r="F17" s="474">
        <f t="shared" si="0"/>
        <v>118119427.88809384</v>
      </c>
      <c r="G17" s="474">
        <f t="shared" si="0"/>
        <v>19998066.308641009</v>
      </c>
      <c r="H17" s="474">
        <f t="shared" si="0"/>
        <v>1790390337.1134112</v>
      </c>
      <c r="I17" s="474">
        <f t="shared" si="0"/>
        <v>16744524.253826188</v>
      </c>
      <c r="J17" s="474">
        <f t="shared" si="0"/>
        <v>370299552.23243296</v>
      </c>
      <c r="K17" s="474">
        <f t="shared" si="0"/>
        <v>433236478.45524985</v>
      </c>
      <c r="L17" s="474">
        <f t="shared" si="0"/>
        <v>464413851.20763105</v>
      </c>
      <c r="M17" s="474">
        <f t="shared" si="0"/>
        <v>112631552.88693604</v>
      </c>
      <c r="N17" s="474">
        <f t="shared" si="0"/>
        <v>82608380.469875216</v>
      </c>
      <c r="O17" s="474">
        <f t="shared" si="0"/>
        <v>11608443.753944267</v>
      </c>
      <c r="P17" s="33">
        <f t="shared" si="1"/>
        <v>3497901490.5011983</v>
      </c>
      <c r="Q17" s="158" t="str">
        <f t="shared" si="2"/>
        <v>Line 203 + Line 303</v>
      </c>
      <c r="R17" s="131">
        <f t="shared" si="3"/>
        <v>103</v>
      </c>
    </row>
    <row r="18" spans="1:18">
      <c r="A18" s="131">
        <f t="shared" si="4"/>
        <v>104</v>
      </c>
      <c r="B18" s="150" t="s">
        <v>117</v>
      </c>
      <c r="C18" s="156">
        <f>'1-BaseTRR'!$F$2</f>
        <v>2022</v>
      </c>
      <c r="D18" s="474">
        <f t="shared" si="0"/>
        <v>223633.11392761092</v>
      </c>
      <c r="E18" s="474">
        <f t="shared" si="0"/>
        <v>77947337.850284159</v>
      </c>
      <c r="F18" s="474">
        <f t="shared" si="0"/>
        <v>118673269.35224235</v>
      </c>
      <c r="G18" s="474">
        <f t="shared" si="0"/>
        <v>20139467.664919809</v>
      </c>
      <c r="H18" s="474">
        <f t="shared" si="0"/>
        <v>1809249025.6045859</v>
      </c>
      <c r="I18" s="474">
        <f t="shared" si="0"/>
        <v>16791409.842072979</v>
      </c>
      <c r="J18" s="474">
        <f t="shared" si="0"/>
        <v>368553122.89387572</v>
      </c>
      <c r="K18" s="474">
        <f t="shared" si="0"/>
        <v>440961356.03856051</v>
      </c>
      <c r="L18" s="474">
        <f t="shared" si="0"/>
        <v>470723745.23686451</v>
      </c>
      <c r="M18" s="474">
        <f t="shared" si="0"/>
        <v>113297072.9549512</v>
      </c>
      <c r="N18" s="474">
        <f t="shared" si="0"/>
        <v>83094355.014503226</v>
      </c>
      <c r="O18" s="474">
        <f t="shared" si="0"/>
        <v>11871366.877713457</v>
      </c>
      <c r="P18" s="33">
        <f t="shared" si="1"/>
        <v>3531525162.4445014</v>
      </c>
      <c r="Q18" s="158" t="str">
        <f t="shared" si="2"/>
        <v>Line 204 + Line 304</v>
      </c>
      <c r="R18" s="131">
        <f t="shared" si="3"/>
        <v>104</v>
      </c>
    </row>
    <row r="19" spans="1:18">
      <c r="A19" s="131">
        <f t="shared" si="4"/>
        <v>105</v>
      </c>
      <c r="B19" s="150" t="s">
        <v>90</v>
      </c>
      <c r="C19" s="156">
        <f>'1-BaseTRR'!$F$2</f>
        <v>2022</v>
      </c>
      <c r="D19" s="474">
        <f t="shared" si="0"/>
        <v>223631.94880373159</v>
      </c>
      <c r="E19" s="474">
        <f t="shared" si="0"/>
        <v>78267626.835875675</v>
      </c>
      <c r="F19" s="474">
        <f t="shared" si="0"/>
        <v>119212794.34168443</v>
      </c>
      <c r="G19" s="474">
        <f t="shared" si="0"/>
        <v>20292712.531534869</v>
      </c>
      <c r="H19" s="474">
        <f t="shared" si="0"/>
        <v>1825795122.4308932</v>
      </c>
      <c r="I19" s="474">
        <f t="shared" si="0"/>
        <v>16838109.500984162</v>
      </c>
      <c r="J19" s="474">
        <f t="shared" si="0"/>
        <v>355176342.90913194</v>
      </c>
      <c r="K19" s="474">
        <f t="shared" si="0"/>
        <v>434665750.24476004</v>
      </c>
      <c r="L19" s="474">
        <f t="shared" si="0"/>
        <v>499952338.55267859</v>
      </c>
      <c r="M19" s="474">
        <f t="shared" si="0"/>
        <v>113723357.06778404</v>
      </c>
      <c r="N19" s="474">
        <f t="shared" si="0"/>
        <v>83393406.275983438</v>
      </c>
      <c r="O19" s="474">
        <f t="shared" si="0"/>
        <v>12137182.695237081</v>
      </c>
      <c r="P19" s="33">
        <f t="shared" si="1"/>
        <v>3559678375.335351</v>
      </c>
      <c r="Q19" s="158" t="str">
        <f t="shared" si="2"/>
        <v>Line 205 + Line 305</v>
      </c>
      <c r="R19" s="131">
        <f t="shared" si="3"/>
        <v>105</v>
      </c>
    </row>
    <row r="20" spans="1:18">
      <c r="A20" s="131">
        <f t="shared" si="4"/>
        <v>106</v>
      </c>
      <c r="B20" s="150" t="s">
        <v>277</v>
      </c>
      <c r="C20" s="156">
        <f>'1-BaseTRR'!$F$2</f>
        <v>2022</v>
      </c>
      <c r="D20" s="474">
        <f t="shared" si="0"/>
        <v>221032.79861823918</v>
      </c>
      <c r="E20" s="474">
        <f t="shared" si="0"/>
        <v>78587969.784289241</v>
      </c>
      <c r="F20" s="474">
        <f t="shared" si="0"/>
        <v>119767278.48424526</v>
      </c>
      <c r="G20" s="474">
        <f t="shared" si="0"/>
        <v>20450495.95235515</v>
      </c>
      <c r="H20" s="474">
        <f t="shared" si="0"/>
        <v>1828717803.9960401</v>
      </c>
      <c r="I20" s="474">
        <f t="shared" si="0"/>
        <v>16884417.83464738</v>
      </c>
      <c r="J20" s="474">
        <f t="shared" si="0"/>
        <v>356000911.78371477</v>
      </c>
      <c r="K20" s="474">
        <f t="shared" si="0"/>
        <v>438759441.83169872</v>
      </c>
      <c r="L20" s="474">
        <f t="shared" si="0"/>
        <v>501598686.04118097</v>
      </c>
      <c r="M20" s="474">
        <f t="shared" si="0"/>
        <v>114392207.07176206</v>
      </c>
      <c r="N20" s="474">
        <f t="shared" si="0"/>
        <v>83878234.623892844</v>
      </c>
      <c r="O20" s="474">
        <f t="shared" si="0"/>
        <v>12402531.485763988</v>
      </c>
      <c r="P20" s="33">
        <f t="shared" si="1"/>
        <v>3571661011.6882091</v>
      </c>
      <c r="Q20" s="158" t="str">
        <f t="shared" si="2"/>
        <v>Line 206 + Line 306</v>
      </c>
      <c r="R20" s="131">
        <f t="shared" si="3"/>
        <v>106</v>
      </c>
    </row>
    <row r="21" spans="1:18">
      <c r="A21" s="131">
        <f t="shared" si="4"/>
        <v>107</v>
      </c>
      <c r="B21" s="150" t="s">
        <v>119</v>
      </c>
      <c r="C21" s="156">
        <f>'1-BaseTRR'!$F$2</f>
        <v>2022</v>
      </c>
      <c r="D21" s="474">
        <f t="shared" si="0"/>
        <v>205417.61675477261</v>
      </c>
      <c r="E21" s="474">
        <f t="shared" si="0"/>
        <v>78908486.821007669</v>
      </c>
      <c r="F21" s="474">
        <f t="shared" si="0"/>
        <v>120318348.80348298</v>
      </c>
      <c r="G21" s="474">
        <f t="shared" si="0"/>
        <v>20612617.617973819</v>
      </c>
      <c r="H21" s="474">
        <f t="shared" si="0"/>
        <v>1844417125.153136</v>
      </c>
      <c r="I21" s="474">
        <f t="shared" si="0"/>
        <v>16926047.62848784</v>
      </c>
      <c r="J21" s="474">
        <f t="shared" si="0"/>
        <v>357159741.18416089</v>
      </c>
      <c r="K21" s="474">
        <f t="shared" si="0"/>
        <v>443409626.8943094</v>
      </c>
      <c r="L21" s="474">
        <f t="shared" si="0"/>
        <v>503937069.64031434</v>
      </c>
      <c r="M21" s="474">
        <f t="shared" si="0"/>
        <v>115060910.91255711</v>
      </c>
      <c r="N21" s="474">
        <f t="shared" si="0"/>
        <v>84359433.931243911</v>
      </c>
      <c r="O21" s="474">
        <f t="shared" si="0"/>
        <v>12669337.746946409</v>
      </c>
      <c r="P21" s="33">
        <f t="shared" si="1"/>
        <v>3597984163.9503751</v>
      </c>
      <c r="Q21" s="158" t="str">
        <f t="shared" si="2"/>
        <v>Line 207 + Line 307</v>
      </c>
      <c r="R21" s="131">
        <f t="shared" si="3"/>
        <v>107</v>
      </c>
    </row>
    <row r="22" spans="1:18">
      <c r="A22" s="131">
        <f t="shared" si="4"/>
        <v>108</v>
      </c>
      <c r="B22" s="150" t="s">
        <v>120</v>
      </c>
      <c r="C22" s="156">
        <f>'1-BaseTRR'!$F$2</f>
        <v>2022</v>
      </c>
      <c r="D22" s="474">
        <f t="shared" si="0"/>
        <v>-17656.223151833601</v>
      </c>
      <c r="E22" s="474">
        <f t="shared" si="0"/>
        <v>79230623.062655494</v>
      </c>
      <c r="F22" s="474">
        <f t="shared" si="0"/>
        <v>120871853.12120858</v>
      </c>
      <c r="G22" s="474">
        <f t="shared" si="0"/>
        <v>20775883.41783778</v>
      </c>
      <c r="H22" s="474">
        <f t="shared" si="0"/>
        <v>1856281148.6982281</v>
      </c>
      <c r="I22" s="474">
        <f t="shared" si="0"/>
        <v>16848250.754790369</v>
      </c>
      <c r="J22" s="474">
        <f t="shared" si="0"/>
        <v>358291103.3959372</v>
      </c>
      <c r="K22" s="474">
        <f t="shared" si="0"/>
        <v>446408825.5540117</v>
      </c>
      <c r="L22" s="474">
        <f t="shared" si="0"/>
        <v>503516262.66879421</v>
      </c>
      <c r="M22" s="474">
        <f t="shared" si="0"/>
        <v>115727760.36542352</v>
      </c>
      <c r="N22" s="474">
        <f t="shared" si="0"/>
        <v>84843263.939156622</v>
      </c>
      <c r="O22" s="474">
        <f t="shared" si="0"/>
        <v>12976526.704542872</v>
      </c>
      <c r="P22" s="33">
        <f t="shared" si="1"/>
        <v>3615753845.4594345</v>
      </c>
      <c r="Q22" s="158" t="str">
        <f t="shared" si="2"/>
        <v>Line 208 + Line 308</v>
      </c>
      <c r="R22" s="131">
        <f t="shared" si="3"/>
        <v>108</v>
      </c>
    </row>
    <row r="23" spans="1:18">
      <c r="A23" s="131">
        <f t="shared" si="4"/>
        <v>109</v>
      </c>
      <c r="B23" s="150" t="s">
        <v>121</v>
      </c>
      <c r="C23" s="156">
        <f>'1-BaseTRR'!$F$2</f>
        <v>2022</v>
      </c>
      <c r="D23" s="474">
        <f t="shared" si="0"/>
        <v>-21148.4725594716</v>
      </c>
      <c r="E23" s="474">
        <f t="shared" si="0"/>
        <v>79551539.772454828</v>
      </c>
      <c r="F23" s="474">
        <f t="shared" si="0"/>
        <v>121426048.79231659</v>
      </c>
      <c r="G23" s="474">
        <f t="shared" si="0"/>
        <v>20946257.673669349</v>
      </c>
      <c r="H23" s="474">
        <f t="shared" si="0"/>
        <v>1873013912.197582</v>
      </c>
      <c r="I23" s="474">
        <f t="shared" si="0"/>
        <v>16894470.79940905</v>
      </c>
      <c r="J23" s="474">
        <f t="shared" si="0"/>
        <v>357402471.32727468</v>
      </c>
      <c r="K23" s="474">
        <f t="shared" si="0"/>
        <v>448560851.26992917</v>
      </c>
      <c r="L23" s="474">
        <f t="shared" si="0"/>
        <v>502034947.99330056</v>
      </c>
      <c r="M23" s="474">
        <f t="shared" si="0"/>
        <v>116396596.59017462</v>
      </c>
      <c r="N23" s="474">
        <f t="shared" si="0"/>
        <v>85321607.330746412</v>
      </c>
      <c r="O23" s="474">
        <f t="shared" si="0"/>
        <v>13235250.202883748</v>
      </c>
      <c r="P23" s="33">
        <f t="shared" si="1"/>
        <v>3634762805.4771814</v>
      </c>
      <c r="Q23" s="158" t="str">
        <f t="shared" si="2"/>
        <v>Line 209 + Line 309</v>
      </c>
      <c r="R23" s="131">
        <f t="shared" si="3"/>
        <v>109</v>
      </c>
    </row>
    <row r="24" spans="1:18">
      <c r="A24" s="131">
        <f t="shared" si="4"/>
        <v>110</v>
      </c>
      <c r="B24" s="150" t="s">
        <v>122</v>
      </c>
      <c r="C24" s="156">
        <f>'1-BaseTRR'!$F$2</f>
        <v>2022</v>
      </c>
      <c r="D24" s="474">
        <f t="shared" si="0"/>
        <v>-21884.469074806999</v>
      </c>
      <c r="E24" s="474">
        <f t="shared" si="0"/>
        <v>79872614.498701409</v>
      </c>
      <c r="F24" s="474">
        <f t="shared" si="0"/>
        <v>121980640.24496169</v>
      </c>
      <c r="G24" s="474">
        <f t="shared" si="0"/>
        <v>21115185.610443853</v>
      </c>
      <c r="H24" s="474">
        <f t="shared" si="0"/>
        <v>1886464977.0858002</v>
      </c>
      <c r="I24" s="474">
        <f t="shared" si="0"/>
        <v>16930464.591407351</v>
      </c>
      <c r="J24" s="474">
        <f t="shared" si="0"/>
        <v>356135111.44746506</v>
      </c>
      <c r="K24" s="474">
        <f t="shared" si="0"/>
        <v>453740672.00923294</v>
      </c>
      <c r="L24" s="474">
        <f t="shared" si="0"/>
        <v>496564535.78104568</v>
      </c>
      <c r="M24" s="474">
        <f t="shared" si="0"/>
        <v>117065369.02338007</v>
      </c>
      <c r="N24" s="474">
        <f t="shared" si="0"/>
        <v>85802242.942474842</v>
      </c>
      <c r="O24" s="474">
        <f t="shared" si="0"/>
        <v>13069495.264230844</v>
      </c>
      <c r="P24" s="33">
        <f t="shared" si="1"/>
        <v>3648719424.0300689</v>
      </c>
      <c r="Q24" s="158" t="str">
        <f t="shared" si="2"/>
        <v>Line 210 + Line 310</v>
      </c>
      <c r="R24" s="131">
        <f t="shared" si="3"/>
        <v>110</v>
      </c>
    </row>
    <row r="25" spans="1:18">
      <c r="A25" s="131">
        <f t="shared" si="4"/>
        <v>111</v>
      </c>
      <c r="B25" s="150" t="s">
        <v>123</v>
      </c>
      <c r="C25" s="156">
        <f>'1-BaseTRR'!$F$2</f>
        <v>2022</v>
      </c>
      <c r="D25" s="474">
        <f t="shared" si="0"/>
        <v>-22029.155539998697</v>
      </c>
      <c r="E25" s="474">
        <f t="shared" si="0"/>
        <v>80193685.767227262</v>
      </c>
      <c r="F25" s="474">
        <f t="shared" si="0"/>
        <v>122532335.71339241</v>
      </c>
      <c r="G25" s="474">
        <f t="shared" si="0"/>
        <v>21287398.973674599</v>
      </c>
      <c r="H25" s="474">
        <f t="shared" si="0"/>
        <v>1894563426.0612161</v>
      </c>
      <c r="I25" s="474">
        <f t="shared" si="0"/>
        <v>17018995.14550386</v>
      </c>
      <c r="J25" s="474">
        <f t="shared" si="0"/>
        <v>354347505.11465728</v>
      </c>
      <c r="K25" s="474">
        <f t="shared" si="0"/>
        <v>455068445.88595343</v>
      </c>
      <c r="L25" s="474">
        <f t="shared" si="0"/>
        <v>497034907.97283244</v>
      </c>
      <c r="M25" s="474">
        <f t="shared" si="0"/>
        <v>117734301.02364475</v>
      </c>
      <c r="N25" s="474">
        <f t="shared" si="0"/>
        <v>86282610.882598966</v>
      </c>
      <c r="O25" s="474">
        <f t="shared" si="0"/>
        <v>13366252.065832712</v>
      </c>
      <c r="P25" s="33">
        <f t="shared" si="1"/>
        <v>3659407835.4509935</v>
      </c>
      <c r="Q25" s="158" t="str">
        <f t="shared" si="2"/>
        <v>Line 211 + Line 311</v>
      </c>
      <c r="R25" s="131">
        <f t="shared" si="3"/>
        <v>111</v>
      </c>
    </row>
    <row r="26" spans="1:18">
      <c r="A26" s="131">
        <f t="shared" si="4"/>
        <v>112</v>
      </c>
      <c r="B26" s="159" t="s">
        <v>113</v>
      </c>
      <c r="C26" s="160">
        <f>'1-BaseTRR'!$F$2</f>
        <v>2022</v>
      </c>
      <c r="D26" s="475">
        <f t="shared" si="0"/>
        <v>-21395.290627845425</v>
      </c>
      <c r="E26" s="475">
        <f t="shared" si="0"/>
        <v>80111169.94158861</v>
      </c>
      <c r="F26" s="475">
        <f t="shared" si="0"/>
        <v>117568898.20387341</v>
      </c>
      <c r="G26" s="475">
        <f t="shared" si="0"/>
        <v>21404561.380631234</v>
      </c>
      <c r="H26" s="475">
        <f t="shared" si="0"/>
        <v>1911313358.9848199</v>
      </c>
      <c r="I26" s="475">
        <f t="shared" si="0"/>
        <v>17062249.820212372</v>
      </c>
      <c r="J26" s="475">
        <f t="shared" si="0"/>
        <v>355281587.71733022</v>
      </c>
      <c r="K26" s="475">
        <f t="shared" si="0"/>
        <v>461317046.56149071</v>
      </c>
      <c r="L26" s="475">
        <f t="shared" si="0"/>
        <v>492520870.19000018</v>
      </c>
      <c r="M26" s="475">
        <f t="shared" si="0"/>
        <v>118165189.37856817</v>
      </c>
      <c r="N26" s="475">
        <f t="shared" si="0"/>
        <v>86487992.5917968</v>
      </c>
      <c r="O26" s="475">
        <f t="shared" si="0"/>
        <v>13340697.811998196</v>
      </c>
      <c r="P26" s="475">
        <f t="shared" si="1"/>
        <v>3674552227.2916818</v>
      </c>
      <c r="Q26" s="158" t="str">
        <f t="shared" si="2"/>
        <v>Line 212 + Line 312</v>
      </c>
      <c r="R26" s="131">
        <f t="shared" si="3"/>
        <v>112</v>
      </c>
    </row>
    <row r="27" spans="1:18">
      <c r="A27" s="131">
        <f t="shared" si="4"/>
        <v>113</v>
      </c>
      <c r="B27" s="544" t="s">
        <v>362</v>
      </c>
      <c r="C27" s="169"/>
      <c r="D27" s="545">
        <f>SUM(D14:D26)/13</f>
        <v>125848.98275682639</v>
      </c>
      <c r="E27" s="545">
        <f>SUM(E14:E26)/13</f>
        <v>78530179.155913636</v>
      </c>
      <c r="F27" s="545">
        <f>SUM(F14:F26)/13</f>
        <v>119327488.75111444</v>
      </c>
      <c r="G27" s="545">
        <f>SUM(G14:G26)/13</f>
        <v>20464029.190936916</v>
      </c>
      <c r="H27" s="545">
        <f t="shared" ref="H27:P27" si="5">SUM(H14:H26)/13</f>
        <v>1829591544.7454476</v>
      </c>
      <c r="I27" s="545">
        <f t="shared" si="5"/>
        <v>16837405.132148162</v>
      </c>
      <c r="J27" s="545">
        <f t="shared" si="5"/>
        <v>360502062.11582673</v>
      </c>
      <c r="K27" s="545">
        <f t="shared" si="5"/>
        <v>437325337.2565124</v>
      </c>
      <c r="L27" s="545">
        <f t="shared" si="5"/>
        <v>499865197.36674702</v>
      </c>
      <c r="M27" s="545">
        <f t="shared" si="5"/>
        <v>114453616.80697131</v>
      </c>
      <c r="N27" s="545">
        <f t="shared" si="5"/>
        <v>83902424.401413932</v>
      </c>
      <c r="O27" s="545">
        <f t="shared" si="5"/>
        <v>12292462.719109856</v>
      </c>
      <c r="P27" s="353">
        <f t="shared" si="5"/>
        <v>3573217596.6248989</v>
      </c>
      <c r="Q27" s="158"/>
      <c r="R27" s="131">
        <f t="shared" si="3"/>
        <v>113</v>
      </c>
    </row>
    <row r="28" spans="1:18">
      <c r="A28" s="17"/>
      <c r="B28" s="17"/>
      <c r="C28" s="17"/>
      <c r="D28" s="17"/>
      <c r="E28" s="17"/>
      <c r="F28" s="17"/>
      <c r="G28" s="17"/>
      <c r="H28" s="17"/>
      <c r="I28" s="17"/>
      <c r="J28" s="17"/>
      <c r="K28" s="17"/>
      <c r="L28" s="17"/>
      <c r="M28" s="17"/>
      <c r="R28" s="131"/>
    </row>
    <row r="29" spans="1:18">
      <c r="A29" s="17"/>
      <c r="B29" s="17"/>
      <c r="C29" s="17"/>
      <c r="D29" s="17"/>
      <c r="E29" s="17"/>
      <c r="F29" s="17"/>
      <c r="G29" s="17"/>
      <c r="H29" s="17"/>
      <c r="I29" s="17"/>
      <c r="J29" s="17"/>
      <c r="K29" s="17"/>
      <c r="L29" s="17"/>
      <c r="M29" s="17"/>
      <c r="R29" s="131"/>
    </row>
    <row r="30" spans="1:18">
      <c r="B30" s="57" t="s">
        <v>425</v>
      </c>
      <c r="C30" s="57"/>
      <c r="D30" s="144"/>
      <c r="E30" s="144"/>
      <c r="F30" s="144"/>
      <c r="G30" s="144"/>
      <c r="H30" s="144"/>
      <c r="I30" s="144"/>
      <c r="J30" s="144"/>
      <c r="K30" s="144"/>
      <c r="L30" s="144"/>
      <c r="M30" s="144"/>
      <c r="N30" s="54"/>
      <c r="O30" s="54"/>
      <c r="P30" s="54"/>
      <c r="Q30" s="54"/>
      <c r="R30" s="131"/>
    </row>
    <row r="31" spans="1:18">
      <c r="B31" s="150" t="s">
        <v>1889</v>
      </c>
    </row>
    <row r="32" spans="1:18">
      <c r="B32" t="s">
        <v>1162</v>
      </c>
    </row>
    <row r="34" spans="1:18" ht="13.5" customHeight="1">
      <c r="A34" s="12"/>
      <c r="D34" s="122" t="s">
        <v>100</v>
      </c>
      <c r="E34" s="122" t="s">
        <v>101</v>
      </c>
      <c r="F34" s="122" t="s">
        <v>102</v>
      </c>
      <c r="G34" s="122" t="s">
        <v>103</v>
      </c>
      <c r="H34" s="122" t="s">
        <v>104</v>
      </c>
      <c r="I34" s="122" t="s">
        <v>105</v>
      </c>
      <c r="J34" s="122" t="s">
        <v>106</v>
      </c>
      <c r="K34" s="122" t="s">
        <v>107</v>
      </c>
      <c r="L34" s="122" t="s">
        <v>108</v>
      </c>
      <c r="M34" s="122" t="s">
        <v>271</v>
      </c>
      <c r="N34" s="122" t="s">
        <v>272</v>
      </c>
      <c r="O34" s="122" t="s">
        <v>273</v>
      </c>
      <c r="P34" s="122" t="s">
        <v>274</v>
      </c>
      <c r="Q34" s="122"/>
      <c r="R34" s="131"/>
    </row>
    <row r="35" spans="1:18" ht="13.5" customHeight="1">
      <c r="A35" s="12"/>
      <c r="D35" s="122"/>
      <c r="E35" s="122"/>
      <c r="F35" s="122"/>
      <c r="G35" s="122"/>
      <c r="H35" s="122"/>
      <c r="I35" s="122"/>
      <c r="J35" s="122"/>
      <c r="K35" s="122"/>
      <c r="L35" s="122"/>
      <c r="M35" s="122"/>
      <c r="N35" s="122"/>
      <c r="O35" s="122"/>
      <c r="P35" s="153" t="s">
        <v>1168</v>
      </c>
      <c r="Q35" s="153"/>
      <c r="R35" s="131"/>
    </row>
    <row r="36" spans="1:18">
      <c r="B36" s="8"/>
      <c r="C36" s="8"/>
      <c r="R36" s="131"/>
    </row>
    <row r="37" spans="1:18">
      <c r="A37" s="201"/>
      <c r="B37" s="131"/>
      <c r="C37" s="130" t="s">
        <v>348</v>
      </c>
      <c r="D37" s="123">
        <v>350.01</v>
      </c>
      <c r="E37" s="123">
        <v>350.02</v>
      </c>
      <c r="F37" s="123">
        <v>352.01</v>
      </c>
      <c r="G37" s="123">
        <v>352.02</v>
      </c>
      <c r="H37" s="123">
        <v>353.01</v>
      </c>
      <c r="I37" s="123">
        <v>353.02</v>
      </c>
      <c r="J37" s="123">
        <v>354</v>
      </c>
      <c r="K37" s="123">
        <v>355</v>
      </c>
      <c r="L37" s="123">
        <v>356</v>
      </c>
      <c r="M37" s="123">
        <v>357</v>
      </c>
      <c r="N37" s="123">
        <v>358</v>
      </c>
      <c r="O37" s="123">
        <v>359</v>
      </c>
      <c r="R37" s="131"/>
    </row>
    <row r="38" spans="1:18">
      <c r="A38" s="119" t="s">
        <v>124</v>
      </c>
      <c r="B38" s="119" t="s">
        <v>82</v>
      </c>
      <c r="C38" s="119" t="s">
        <v>111</v>
      </c>
      <c r="D38" s="122" t="s">
        <v>349</v>
      </c>
      <c r="E38" s="122" t="s">
        <v>350</v>
      </c>
      <c r="F38" s="122" t="s">
        <v>351</v>
      </c>
      <c r="G38" s="122" t="s">
        <v>352</v>
      </c>
      <c r="H38" s="122" t="s">
        <v>353</v>
      </c>
      <c r="I38" s="122" t="s">
        <v>354</v>
      </c>
      <c r="J38" s="122" t="s">
        <v>355</v>
      </c>
      <c r="K38" s="122" t="s">
        <v>356</v>
      </c>
      <c r="L38" s="122" t="s">
        <v>357</v>
      </c>
      <c r="M38" s="122" t="s">
        <v>358</v>
      </c>
      <c r="N38" s="122" t="s">
        <v>359</v>
      </c>
      <c r="O38" s="122" t="s">
        <v>360</v>
      </c>
      <c r="P38" s="119" t="s">
        <v>361</v>
      </c>
      <c r="Q38" s="119"/>
      <c r="R38" s="119" t="str">
        <f>A38</f>
        <v>Line</v>
      </c>
    </row>
    <row r="39" spans="1:18">
      <c r="A39" s="131">
        <v>200</v>
      </c>
      <c r="B39" s="150" t="s">
        <v>113</v>
      </c>
      <c r="C39" s="156">
        <f>'1-BaseTRR'!$F$2-1</f>
        <v>2021</v>
      </c>
      <c r="D39" s="476">
        <v>117087</v>
      </c>
      <c r="E39" s="476">
        <v>36299687</v>
      </c>
      <c r="F39" s="476">
        <v>62311187</v>
      </c>
      <c r="G39" s="476">
        <v>6830513</v>
      </c>
      <c r="H39" s="476">
        <v>584897560</v>
      </c>
      <c r="I39" s="476">
        <v>2367287</v>
      </c>
      <c r="J39" s="476">
        <v>244020243</v>
      </c>
      <c r="K39" s="476">
        <v>24685326</v>
      </c>
      <c r="L39" s="476">
        <v>220693126</v>
      </c>
      <c r="M39" s="476">
        <v>66329558</v>
      </c>
      <c r="N39" s="476">
        <v>36199236</v>
      </c>
      <c r="O39" s="476">
        <v>4630645</v>
      </c>
      <c r="P39" s="157">
        <f>SUM(D39:O39)</f>
        <v>1289381455</v>
      </c>
      <c r="Q39" s="158"/>
      <c r="R39" s="131">
        <f t="shared" ref="R39:R52" si="6">A39</f>
        <v>200</v>
      </c>
    </row>
    <row r="40" spans="1:18">
      <c r="A40" s="131">
        <f>A39+1</f>
        <v>201</v>
      </c>
      <c r="B40" s="150" t="s">
        <v>114</v>
      </c>
      <c r="C40" s="156">
        <f>'1-BaseTRR'!$F$2</f>
        <v>2022</v>
      </c>
      <c r="D40" s="476">
        <v>122772.58431005667</v>
      </c>
      <c r="E40" s="476">
        <v>36625700.227241345</v>
      </c>
      <c r="F40" s="476">
        <v>61137015.480414636</v>
      </c>
      <c r="G40" s="476">
        <v>6490210.7439740766</v>
      </c>
      <c r="H40" s="476">
        <v>578352470.383973</v>
      </c>
      <c r="I40" s="476">
        <v>2351701.1879671477</v>
      </c>
      <c r="J40" s="476">
        <v>245157290.48917985</v>
      </c>
      <c r="K40" s="476">
        <v>25916776.214175645</v>
      </c>
      <c r="L40" s="476">
        <v>225528640.69694197</v>
      </c>
      <c r="M40" s="476">
        <v>66918293.658288389</v>
      </c>
      <c r="N40" s="476">
        <v>36560062.045440651</v>
      </c>
      <c r="O40" s="476">
        <v>4803133.3821489848</v>
      </c>
      <c r="P40" s="157">
        <f t="shared" ref="P40:P51" si="7">SUM(D40:O40)</f>
        <v>1289964067.0940559</v>
      </c>
      <c r="Q40" s="158"/>
      <c r="R40" s="131">
        <f t="shared" si="6"/>
        <v>201</v>
      </c>
    </row>
    <row r="41" spans="1:18">
      <c r="A41" s="131">
        <f t="shared" ref="A41:A52" si="8">A40+1</f>
        <v>202</v>
      </c>
      <c r="B41" s="150" t="s">
        <v>115</v>
      </c>
      <c r="C41" s="156">
        <f>'1-BaseTRR'!$F$2</f>
        <v>2022</v>
      </c>
      <c r="D41" s="476">
        <v>129999.86765573225</v>
      </c>
      <c r="E41" s="476">
        <v>36777919.175369494</v>
      </c>
      <c r="F41" s="476">
        <v>61351910.295903295</v>
      </c>
      <c r="G41" s="476">
        <v>6533720.8439311506</v>
      </c>
      <c r="H41" s="476">
        <v>588602524.39341164</v>
      </c>
      <c r="I41" s="476">
        <v>2357156.7500633011</v>
      </c>
      <c r="J41" s="476">
        <v>243844468.14540935</v>
      </c>
      <c r="K41" s="476">
        <v>25403504.572916076</v>
      </c>
      <c r="L41" s="476">
        <v>217370914.71560523</v>
      </c>
      <c r="M41" s="476">
        <v>67371496.321372256</v>
      </c>
      <c r="N41" s="476">
        <v>36760235.881546594</v>
      </c>
      <c r="O41" s="476">
        <v>4908518.9463196257</v>
      </c>
      <c r="P41" s="157">
        <f t="shared" si="7"/>
        <v>1291412369.9095035</v>
      </c>
      <c r="Q41" s="158"/>
      <c r="R41" s="131">
        <f t="shared" si="6"/>
        <v>202</v>
      </c>
    </row>
    <row r="42" spans="1:18">
      <c r="A42" s="131">
        <f t="shared" si="8"/>
        <v>203</v>
      </c>
      <c r="B42" s="150" t="s">
        <v>116</v>
      </c>
      <c r="C42" s="156">
        <f>'1-BaseTRR'!$F$2</f>
        <v>2022</v>
      </c>
      <c r="D42" s="476">
        <v>129381.10661677519</v>
      </c>
      <c r="E42" s="476">
        <v>36931204.928332373</v>
      </c>
      <c r="F42" s="476">
        <v>61542684.261541486</v>
      </c>
      <c r="G42" s="476">
        <v>6576509.0077622011</v>
      </c>
      <c r="H42" s="476">
        <v>593527842.97496223</v>
      </c>
      <c r="I42" s="476">
        <v>2362591.9866596204</v>
      </c>
      <c r="J42" s="476">
        <v>246461729.27596101</v>
      </c>
      <c r="K42" s="476">
        <v>27257836.172527455</v>
      </c>
      <c r="L42" s="476">
        <v>201165825.36180633</v>
      </c>
      <c r="M42" s="476">
        <v>67824639.015632853</v>
      </c>
      <c r="N42" s="476">
        <v>36959833.418715209</v>
      </c>
      <c r="O42" s="476">
        <v>5004512.4357747808</v>
      </c>
      <c r="P42" s="157">
        <f t="shared" si="7"/>
        <v>1285744589.9462924</v>
      </c>
      <c r="Q42" s="158"/>
      <c r="R42" s="131">
        <f t="shared" si="6"/>
        <v>203</v>
      </c>
    </row>
    <row r="43" spans="1:18">
      <c r="A43" s="131">
        <f t="shared" si="8"/>
        <v>204</v>
      </c>
      <c r="B43" s="150" t="s">
        <v>117</v>
      </c>
      <c r="C43" s="156">
        <f>'1-BaseTRR'!$F$2</f>
        <v>2022</v>
      </c>
      <c r="D43" s="476">
        <v>129828.22671935383</v>
      </c>
      <c r="E43" s="476">
        <v>37083107.451288722</v>
      </c>
      <c r="F43" s="476">
        <v>61735620.239238195</v>
      </c>
      <c r="G43" s="476">
        <v>6618059.1575238938</v>
      </c>
      <c r="H43" s="476">
        <v>599932691.9122746</v>
      </c>
      <c r="I43" s="476">
        <v>2368039.9145863717</v>
      </c>
      <c r="J43" s="476">
        <v>245246387.04243988</v>
      </c>
      <c r="K43" s="476">
        <v>28064249.599649936</v>
      </c>
      <c r="L43" s="476">
        <v>203609206.18112656</v>
      </c>
      <c r="M43" s="476">
        <v>68282771.014037684</v>
      </c>
      <c r="N43" s="476">
        <v>37161581.039917774</v>
      </c>
      <c r="O43" s="476">
        <v>5110627.4255561959</v>
      </c>
      <c r="P43" s="157">
        <f t="shared" si="7"/>
        <v>1295342169.2043591</v>
      </c>
      <c r="Q43" s="158"/>
      <c r="R43" s="131">
        <f t="shared" si="6"/>
        <v>204</v>
      </c>
    </row>
    <row r="44" spans="1:18">
      <c r="A44" s="131">
        <f t="shared" si="8"/>
        <v>205</v>
      </c>
      <c r="B44" s="150" t="s">
        <v>90</v>
      </c>
      <c r="C44" s="156">
        <f>'1-BaseTRR'!$F$2</f>
        <v>2022</v>
      </c>
      <c r="D44" s="476">
        <v>129709.67379954491</v>
      </c>
      <c r="E44" s="476">
        <v>37234379.018445618</v>
      </c>
      <c r="F44" s="476">
        <v>61929976.613567173</v>
      </c>
      <c r="G44" s="476">
        <v>6661118.0371331014</v>
      </c>
      <c r="H44" s="476">
        <v>605975777.55969691</v>
      </c>
      <c r="I44" s="476">
        <v>2373481.6230975711</v>
      </c>
      <c r="J44" s="476">
        <v>238144763.75424525</v>
      </c>
      <c r="K44" s="476">
        <v>27837958.69916169</v>
      </c>
      <c r="L44" s="476">
        <v>213232803.98245445</v>
      </c>
      <c r="M44" s="476">
        <v>68695074.186526462</v>
      </c>
      <c r="N44" s="476">
        <v>37348020.544103667</v>
      </c>
      <c r="O44" s="476">
        <v>5218632.0999842612</v>
      </c>
      <c r="P44" s="157">
        <f t="shared" si="7"/>
        <v>1304781695.7922156</v>
      </c>
      <c r="Q44" s="158"/>
      <c r="R44" s="131">
        <f t="shared" si="6"/>
        <v>205</v>
      </c>
    </row>
    <row r="45" spans="1:18">
      <c r="A45" s="131">
        <f t="shared" si="8"/>
        <v>206</v>
      </c>
      <c r="B45" s="150" t="s">
        <v>277</v>
      </c>
      <c r="C45" s="156">
        <f>'1-BaseTRR'!$F$2</f>
        <v>2022</v>
      </c>
      <c r="D45" s="476">
        <v>128172.17972119738</v>
      </c>
      <c r="E45" s="476">
        <v>37386720.771004163</v>
      </c>
      <c r="F45" s="476">
        <v>62131719.315295234</v>
      </c>
      <c r="G45" s="476">
        <v>6705748.4995924467</v>
      </c>
      <c r="H45" s="476">
        <v>608057388.25198412</v>
      </c>
      <c r="I45" s="476">
        <v>2378917.1141841053</v>
      </c>
      <c r="J45" s="476">
        <v>238422955.38700721</v>
      </c>
      <c r="K45" s="476">
        <v>28326370.456787214</v>
      </c>
      <c r="L45" s="476">
        <v>213756796.39982548</v>
      </c>
      <c r="M45" s="476">
        <v>69156262.506813571</v>
      </c>
      <c r="N45" s="476">
        <v>37548115.27494406</v>
      </c>
      <c r="O45" s="476">
        <v>5333978.2665300462</v>
      </c>
      <c r="P45" s="157">
        <f t="shared" si="7"/>
        <v>1309333144.4236889</v>
      </c>
      <c r="Q45" s="158"/>
      <c r="R45" s="131">
        <f t="shared" si="6"/>
        <v>206</v>
      </c>
    </row>
    <row r="46" spans="1:18">
      <c r="A46" s="131">
        <f t="shared" si="8"/>
        <v>207</v>
      </c>
      <c r="B46" s="150" t="s">
        <v>119</v>
      </c>
      <c r="C46" s="156">
        <f>'1-BaseTRR'!$F$2</f>
        <v>2022</v>
      </c>
      <c r="D46" s="476">
        <v>119159.49732885271</v>
      </c>
      <c r="E46" s="476">
        <v>37539633.21420373</v>
      </c>
      <c r="F46" s="476">
        <v>62326199.913419038</v>
      </c>
      <c r="G46" s="476">
        <v>6751067.9273373215</v>
      </c>
      <c r="H46" s="476">
        <v>613768893.06145334</v>
      </c>
      <c r="I46" s="476">
        <v>2383705.6869904664</v>
      </c>
      <c r="J46" s="476">
        <v>238890085.57391077</v>
      </c>
      <c r="K46" s="476">
        <v>28505108.618496336</v>
      </c>
      <c r="L46" s="476">
        <v>214641711.45608741</v>
      </c>
      <c r="M46" s="476">
        <v>69614373.523524508</v>
      </c>
      <c r="N46" s="476">
        <v>37745881.457868323</v>
      </c>
      <c r="O46" s="476">
        <v>5451994.6446769293</v>
      </c>
      <c r="P46" s="157">
        <f t="shared" si="7"/>
        <v>1317737814.5752971</v>
      </c>
      <c r="Q46" s="158"/>
      <c r="R46" s="131">
        <f t="shared" si="6"/>
        <v>207</v>
      </c>
    </row>
    <row r="47" spans="1:18">
      <c r="A47" s="131">
        <f t="shared" si="8"/>
        <v>208</v>
      </c>
      <c r="B47" s="150" t="s">
        <v>120</v>
      </c>
      <c r="C47" s="156">
        <f>'1-BaseTRR'!$F$2</f>
        <v>2022</v>
      </c>
      <c r="D47" s="476">
        <v>-10366.994463994297</v>
      </c>
      <c r="E47" s="476">
        <v>37693087.35198874</v>
      </c>
      <c r="F47" s="476">
        <v>62523947.258759938</v>
      </c>
      <c r="G47" s="476">
        <v>6798369.9738540705</v>
      </c>
      <c r="H47" s="476">
        <v>618430253.38255191</v>
      </c>
      <c r="I47" s="476">
        <v>2372309.197622213</v>
      </c>
      <c r="J47" s="476">
        <v>239342166.65671316</v>
      </c>
      <c r="K47" s="476">
        <v>28673730.939187609</v>
      </c>
      <c r="L47" s="476">
        <v>214344615.09464198</v>
      </c>
      <c r="M47" s="476">
        <v>70071489.046660542</v>
      </c>
      <c r="N47" s="476">
        <v>37944137.733954139</v>
      </c>
      <c r="O47" s="476">
        <v>5588415.1740865754</v>
      </c>
      <c r="P47" s="157">
        <f t="shared" si="7"/>
        <v>1323772154.8155568</v>
      </c>
      <c r="Q47" s="158"/>
      <c r="R47" s="131">
        <f t="shared" si="6"/>
        <v>208</v>
      </c>
    </row>
    <row r="48" spans="1:18">
      <c r="A48" s="131">
        <f t="shared" si="8"/>
        <v>209</v>
      </c>
      <c r="B48" s="150" t="s">
        <v>121</v>
      </c>
      <c r="C48" s="156">
        <f>'1-BaseTRR'!$F$2</f>
        <v>2022</v>
      </c>
      <c r="D48" s="476">
        <v>-12416.709277780901</v>
      </c>
      <c r="E48" s="476">
        <v>37845287.172451191</v>
      </c>
      <c r="F48" s="476">
        <v>62717054.409771286</v>
      </c>
      <c r="G48" s="476">
        <v>6850342.6210056096</v>
      </c>
      <c r="H48" s="476">
        <v>624489202.23670888</v>
      </c>
      <c r="I48" s="476">
        <v>2377859.6179696987</v>
      </c>
      <c r="J48" s="476">
        <v>238565841.16892281</v>
      </c>
      <c r="K48" s="476">
        <v>29291275.503817249</v>
      </c>
      <c r="L48" s="476">
        <v>213820224.05870098</v>
      </c>
      <c r="M48" s="476">
        <v>70529772.114354342</v>
      </c>
      <c r="N48" s="476">
        <v>38146380.360459827</v>
      </c>
      <c r="O48" s="476">
        <v>5708065.7693290478</v>
      </c>
      <c r="P48" s="157">
        <f t="shared" si="7"/>
        <v>1330328888.3242133</v>
      </c>
      <c r="Q48" s="158"/>
      <c r="R48" s="131">
        <f t="shared" si="6"/>
        <v>209</v>
      </c>
    </row>
    <row r="49" spans="1:19">
      <c r="A49" s="131">
        <f t="shared" si="8"/>
        <v>210</v>
      </c>
      <c r="B49" s="150" t="s">
        <v>122</v>
      </c>
      <c r="C49" s="156">
        <f>'1-BaseTRR'!$F$2</f>
        <v>2022</v>
      </c>
      <c r="D49" s="476">
        <v>-12847.940471951108</v>
      </c>
      <c r="E49" s="476">
        <v>37997422.807034433</v>
      </c>
      <c r="F49" s="476">
        <v>62914443.219391637</v>
      </c>
      <c r="G49" s="476">
        <v>6869997.6258111503</v>
      </c>
      <c r="H49" s="476">
        <v>629694402.86596739</v>
      </c>
      <c r="I49" s="476">
        <v>2382111.8454174092</v>
      </c>
      <c r="J49" s="476">
        <v>237485782.42794424</v>
      </c>
      <c r="K49" s="476">
        <v>29953160.361743078</v>
      </c>
      <c r="L49" s="476">
        <v>211811872.23593095</v>
      </c>
      <c r="M49" s="476">
        <v>70988090.741255015</v>
      </c>
      <c r="N49" s="476">
        <v>38344973.391620651</v>
      </c>
      <c r="O49" s="476">
        <v>5656989.9631309528</v>
      </c>
      <c r="P49" s="157">
        <f t="shared" si="7"/>
        <v>1334086399.544775</v>
      </c>
      <c r="Q49" s="158"/>
      <c r="R49" s="131">
        <f t="shared" si="6"/>
        <v>210</v>
      </c>
    </row>
    <row r="50" spans="1:19">
      <c r="A50" s="131">
        <f t="shared" si="8"/>
        <v>211</v>
      </c>
      <c r="B50" s="150" t="s">
        <v>123</v>
      </c>
      <c r="C50" s="156">
        <f>'1-BaseTRR'!$F$2</f>
        <v>2022</v>
      </c>
      <c r="D50" s="476">
        <v>-12935.049272181512</v>
      </c>
      <c r="E50" s="476">
        <v>38150412.944122784</v>
      </c>
      <c r="F50" s="476">
        <v>63110007.192747854</v>
      </c>
      <c r="G50" s="476">
        <v>6914971.1959128017</v>
      </c>
      <c r="H50" s="476">
        <v>632848293.83122468</v>
      </c>
      <c r="I50" s="476">
        <v>2390573.7393651363</v>
      </c>
      <c r="J50" s="476">
        <v>235798442.30855325</v>
      </c>
      <c r="K50" s="476">
        <v>30112494.368066266</v>
      </c>
      <c r="L50" s="476">
        <v>212006053.58593267</v>
      </c>
      <c r="M50" s="476">
        <v>71446355.378584296</v>
      </c>
      <c r="N50" s="476">
        <v>38543757.845635474</v>
      </c>
      <c r="O50" s="476">
        <v>5780499.9636163032</v>
      </c>
      <c r="P50" s="157">
        <f t="shared" si="7"/>
        <v>1337088927.3044894</v>
      </c>
      <c r="Q50" s="158"/>
      <c r="R50" s="131">
        <f t="shared" si="6"/>
        <v>211</v>
      </c>
    </row>
    <row r="51" spans="1:19">
      <c r="A51" s="131">
        <f t="shared" si="8"/>
        <v>212</v>
      </c>
      <c r="B51" s="159" t="s">
        <v>113</v>
      </c>
      <c r="C51" s="160">
        <f>'1-BaseTRR'!$F$2</f>
        <v>2022</v>
      </c>
      <c r="D51" s="477">
        <v>-12377.45593025678</v>
      </c>
      <c r="E51" s="477">
        <v>38120938.661849603</v>
      </c>
      <c r="F51" s="477">
        <v>63096141.952455379</v>
      </c>
      <c r="G51" s="477">
        <v>6967112.1724282084</v>
      </c>
      <c r="H51" s="477">
        <v>634894252.10597956</v>
      </c>
      <c r="I51" s="477">
        <v>2395835.7671737466</v>
      </c>
      <c r="J51" s="477">
        <v>235618019.43160644</v>
      </c>
      <c r="K51" s="477">
        <v>27970276.483369496</v>
      </c>
      <c r="L51" s="477">
        <v>209856534.34100905</v>
      </c>
      <c r="M51" s="477">
        <v>71775151.802649513</v>
      </c>
      <c r="N51" s="477">
        <v>38595443.925778918</v>
      </c>
      <c r="O51" s="477">
        <v>5831518.814367556</v>
      </c>
      <c r="P51" s="202">
        <f t="shared" si="7"/>
        <v>1335108848.002737</v>
      </c>
      <c r="Q51" s="203"/>
      <c r="R51" s="131">
        <f t="shared" si="6"/>
        <v>212</v>
      </c>
    </row>
    <row r="52" spans="1:19">
      <c r="A52" s="131">
        <f t="shared" si="8"/>
        <v>213</v>
      </c>
      <c r="B52" s="544" t="s">
        <v>362</v>
      </c>
      <c r="C52" s="169"/>
      <c r="D52" s="545">
        <f>SUM(D39:D51)/13</f>
        <v>72705.075902719109</v>
      </c>
      <c r="E52" s="545">
        <f>SUM(E39:E51)/13</f>
        <v>37360423.132564016</v>
      </c>
      <c r="F52" s="545">
        <f>SUM(F39:F51)/13</f>
        <v>62217531.319423474</v>
      </c>
      <c r="G52" s="545">
        <f>SUM(G39:G51)/13</f>
        <v>6735980.0620204639</v>
      </c>
      <c r="H52" s="545">
        <f t="shared" ref="H52:P52" si="9">SUM(H39:H51)/13</f>
        <v>608728580.99693763</v>
      </c>
      <c r="I52" s="545">
        <f t="shared" si="9"/>
        <v>2373967.0331612909</v>
      </c>
      <c r="J52" s="545">
        <f t="shared" si="9"/>
        <v>240538321.12783793</v>
      </c>
      <c r="K52" s="545">
        <f t="shared" si="9"/>
        <v>27846005.229992155</v>
      </c>
      <c r="L52" s="545">
        <f t="shared" si="9"/>
        <v>213218332.62385103</v>
      </c>
      <c r="M52" s="545">
        <f t="shared" si="9"/>
        <v>69154102.10074611</v>
      </c>
      <c r="N52" s="545">
        <f t="shared" si="9"/>
        <v>37527512.224614248</v>
      </c>
      <c r="O52" s="545">
        <f t="shared" si="9"/>
        <v>5309810.1450400967</v>
      </c>
      <c r="P52" s="546">
        <f t="shared" si="9"/>
        <v>1311083271.0720911</v>
      </c>
      <c r="Q52" s="158"/>
      <c r="R52" s="131">
        <f t="shared" si="6"/>
        <v>213</v>
      </c>
    </row>
    <row r="53" spans="1:19">
      <c r="A53" s="17"/>
      <c r="B53" s="17"/>
      <c r="C53" s="17"/>
      <c r="D53" s="17"/>
      <c r="E53" s="17"/>
      <c r="F53" s="17"/>
      <c r="G53" s="17"/>
      <c r="H53" s="17"/>
      <c r="I53" s="17"/>
      <c r="J53" s="17"/>
      <c r="K53" s="17"/>
      <c r="L53" s="17"/>
      <c r="M53" s="17"/>
      <c r="R53" s="131"/>
    </row>
    <row r="54" spans="1:19">
      <c r="A54" s="17"/>
      <c r="B54" s="17"/>
      <c r="C54" s="17"/>
      <c r="D54" s="17"/>
      <c r="E54" s="17"/>
      <c r="F54" s="17"/>
      <c r="G54" s="17"/>
      <c r="H54" s="17"/>
      <c r="I54" s="17"/>
      <c r="J54" s="17"/>
      <c r="K54" s="17"/>
      <c r="L54" s="17"/>
      <c r="M54" s="17"/>
      <c r="R54" s="131"/>
    </row>
    <row r="55" spans="1:19">
      <c r="A55" s="17"/>
      <c r="B55" s="57" t="s">
        <v>426</v>
      </c>
      <c r="C55" s="57"/>
      <c r="D55" s="144"/>
      <c r="E55" s="144"/>
      <c r="F55" s="144"/>
      <c r="G55" s="144"/>
      <c r="H55" s="144"/>
      <c r="I55" s="144"/>
      <c r="J55" s="144"/>
      <c r="K55" s="144"/>
      <c r="L55" s="144"/>
      <c r="M55" s="144"/>
      <c r="N55" s="54"/>
      <c r="O55" s="54"/>
      <c r="P55" s="54"/>
      <c r="Q55" s="54"/>
      <c r="R55" s="131"/>
    </row>
    <row r="56" spans="1:19">
      <c r="A56" s="17"/>
      <c r="B56" s="150" t="s">
        <v>1890</v>
      </c>
      <c r="C56" s="17"/>
      <c r="D56" s="17"/>
      <c r="E56" s="17"/>
      <c r="F56" s="17"/>
      <c r="G56" s="17"/>
      <c r="H56" s="17"/>
      <c r="I56" s="17"/>
      <c r="J56" s="17"/>
      <c r="K56" s="17"/>
      <c r="L56" s="17"/>
      <c r="M56" s="17"/>
      <c r="N56" s="17"/>
      <c r="O56" s="17"/>
      <c r="P56" s="17"/>
      <c r="Q56" s="17"/>
      <c r="R56" s="17"/>
      <c r="S56" s="17"/>
    </row>
    <row r="57" spans="1:19">
      <c r="A57" s="17"/>
      <c r="B57" t="s">
        <v>1163</v>
      </c>
      <c r="C57" s="17"/>
      <c r="D57" s="17"/>
      <c r="E57" s="17"/>
      <c r="F57" s="17"/>
      <c r="G57" s="17"/>
      <c r="H57" s="17"/>
      <c r="I57" s="17"/>
      <c r="J57" s="17"/>
      <c r="K57" s="17"/>
      <c r="L57" s="17"/>
      <c r="M57" s="17"/>
      <c r="N57" s="17"/>
      <c r="O57" s="17"/>
      <c r="P57" s="17"/>
      <c r="Q57" s="17"/>
      <c r="R57" s="17"/>
      <c r="S57" s="17"/>
    </row>
    <row r="58" spans="1:19">
      <c r="A58" s="17"/>
      <c r="C58" s="17"/>
      <c r="D58" s="17"/>
      <c r="E58" s="17"/>
      <c r="F58" s="17"/>
      <c r="G58" s="17"/>
      <c r="H58" s="17"/>
      <c r="I58" s="17"/>
      <c r="J58" s="17"/>
      <c r="K58" s="17"/>
      <c r="L58" s="17"/>
      <c r="M58" s="17"/>
      <c r="N58" s="17"/>
      <c r="O58" s="17"/>
      <c r="P58" s="17"/>
      <c r="Q58" s="17"/>
      <c r="R58" s="17"/>
      <c r="S58" s="17"/>
    </row>
    <row r="59" spans="1:19">
      <c r="A59" s="12"/>
      <c r="D59" s="122" t="s">
        <v>100</v>
      </c>
      <c r="E59" s="122" t="s">
        <v>101</v>
      </c>
      <c r="F59" s="122" t="s">
        <v>102</v>
      </c>
      <c r="G59" s="122" t="s">
        <v>103</v>
      </c>
      <c r="H59" s="122" t="s">
        <v>104</v>
      </c>
      <c r="I59" s="122" t="s">
        <v>105</v>
      </c>
      <c r="J59" s="122" t="s">
        <v>106</v>
      </c>
      <c r="K59" s="122" t="s">
        <v>107</v>
      </c>
      <c r="L59" s="122" t="s">
        <v>108</v>
      </c>
      <c r="M59" s="122" t="s">
        <v>271</v>
      </c>
      <c r="N59" s="122" t="s">
        <v>272</v>
      </c>
      <c r="O59" s="122" t="s">
        <v>273</v>
      </c>
      <c r="P59" s="122" t="s">
        <v>274</v>
      </c>
      <c r="Q59" s="122"/>
      <c r="R59" s="131"/>
    </row>
    <row r="60" spans="1:19">
      <c r="A60" s="12"/>
      <c r="D60" s="122"/>
      <c r="E60" s="122"/>
      <c r="F60" s="122"/>
      <c r="G60" s="122"/>
      <c r="H60" s="122"/>
      <c r="I60" s="122"/>
      <c r="J60" s="122"/>
      <c r="K60" s="122"/>
      <c r="L60" s="122"/>
      <c r="M60" s="122"/>
      <c r="N60" s="122"/>
      <c r="O60" s="122"/>
      <c r="P60" s="153" t="s">
        <v>1168</v>
      </c>
      <c r="Q60" s="153"/>
      <c r="R60" s="131"/>
    </row>
    <row r="61" spans="1:19">
      <c r="B61" s="8"/>
      <c r="C61" s="8"/>
      <c r="N61" s="30"/>
      <c r="P61" s="30"/>
      <c r="Q61" s="30"/>
      <c r="R61" s="131"/>
    </row>
    <row r="62" spans="1:19">
      <c r="A62" s="201"/>
      <c r="B62" s="131"/>
      <c r="C62" s="130" t="s">
        <v>348</v>
      </c>
      <c r="D62" s="123">
        <v>350.01</v>
      </c>
      <c r="E62" s="123">
        <v>350.02</v>
      </c>
      <c r="F62" s="123">
        <v>352.01</v>
      </c>
      <c r="G62" s="123">
        <v>352.02</v>
      </c>
      <c r="H62" s="123">
        <v>353.01</v>
      </c>
      <c r="I62" s="123">
        <v>353.02</v>
      </c>
      <c r="J62" s="123">
        <v>354</v>
      </c>
      <c r="K62" s="123">
        <v>355</v>
      </c>
      <c r="L62" s="123">
        <v>356</v>
      </c>
      <c r="M62" s="123">
        <v>357</v>
      </c>
      <c r="N62" s="123">
        <v>358</v>
      </c>
      <c r="O62" s="123">
        <v>359</v>
      </c>
      <c r="R62" s="131"/>
    </row>
    <row r="63" spans="1:19">
      <c r="A63" s="119" t="s">
        <v>124</v>
      </c>
      <c r="B63" s="119" t="s">
        <v>82</v>
      </c>
      <c r="C63" s="119" t="s">
        <v>111</v>
      </c>
      <c r="D63" s="122" t="s">
        <v>349</v>
      </c>
      <c r="E63" s="122" t="s">
        <v>350</v>
      </c>
      <c r="F63" s="122" t="s">
        <v>351</v>
      </c>
      <c r="G63" s="122" t="s">
        <v>352</v>
      </c>
      <c r="H63" s="122" t="s">
        <v>353</v>
      </c>
      <c r="I63" s="122" t="s">
        <v>354</v>
      </c>
      <c r="J63" s="122" t="s">
        <v>355</v>
      </c>
      <c r="K63" s="122" t="s">
        <v>356</v>
      </c>
      <c r="L63" s="122" t="s">
        <v>357</v>
      </c>
      <c r="M63" s="122" t="s">
        <v>358</v>
      </c>
      <c r="N63" s="122" t="s">
        <v>359</v>
      </c>
      <c r="O63" s="122" t="s">
        <v>360</v>
      </c>
      <c r="P63" s="119" t="s">
        <v>361</v>
      </c>
      <c r="Q63" s="119"/>
      <c r="R63" s="119" t="str">
        <f>A63</f>
        <v>Line</v>
      </c>
    </row>
    <row r="64" spans="1:19">
      <c r="A64" s="131">
        <v>300</v>
      </c>
      <c r="B64" s="150" t="s">
        <v>113</v>
      </c>
      <c r="C64" s="156">
        <f>'1-BaseTRR'!$F$2-1</f>
        <v>2021</v>
      </c>
      <c r="D64" s="476">
        <v>88201</v>
      </c>
      <c r="E64" s="476">
        <v>39996721</v>
      </c>
      <c r="F64" s="476">
        <v>53876499</v>
      </c>
      <c r="G64" s="476">
        <v>12647513</v>
      </c>
      <c r="H64" s="476">
        <v>1155172481</v>
      </c>
      <c r="I64" s="476">
        <v>14233601</v>
      </c>
      <c r="J64" s="476">
        <v>121078919</v>
      </c>
      <c r="K64" s="476">
        <v>383393240</v>
      </c>
      <c r="L64" s="476">
        <v>299826840</v>
      </c>
      <c r="M64" s="476">
        <v>44097818</v>
      </c>
      <c r="N64" s="476">
        <v>44695149</v>
      </c>
      <c r="O64" s="476">
        <v>6004749</v>
      </c>
      <c r="P64" s="33">
        <f>SUM(D64:O64)</f>
        <v>2175111731</v>
      </c>
      <c r="Q64" s="158"/>
      <c r="R64" s="131">
        <f t="shared" ref="R64:R77" si="10">A64</f>
        <v>300</v>
      </c>
    </row>
    <row r="65" spans="1:18">
      <c r="A65" s="131">
        <f>A64+1</f>
        <v>301</v>
      </c>
      <c r="B65" s="150" t="s">
        <v>114</v>
      </c>
      <c r="C65" s="156">
        <f>'1-BaseTRR'!$F$2</f>
        <v>2022</v>
      </c>
      <c r="D65" s="476">
        <v>89778.17821205614</v>
      </c>
      <c r="E65" s="476">
        <v>40363771.133052163</v>
      </c>
      <c r="F65" s="476">
        <v>55889313.388224162</v>
      </c>
      <c r="G65" s="476">
        <v>13198186.190945722</v>
      </c>
      <c r="H65" s="476">
        <v>1168872785.5752351</v>
      </c>
      <c r="I65" s="476">
        <v>14297563.458775312</v>
      </c>
      <c r="J65" s="476">
        <v>122188095.17703642</v>
      </c>
      <c r="K65" s="476">
        <v>387956589.73941129</v>
      </c>
      <c r="L65" s="476">
        <v>307514241.53247726</v>
      </c>
      <c r="M65" s="476">
        <v>44387977.864537947</v>
      </c>
      <c r="N65" s="476">
        <v>45080607.058197781</v>
      </c>
      <c r="O65" s="476">
        <v>6312166.3145891</v>
      </c>
      <c r="P65" s="33">
        <f t="shared" ref="P65:P76" si="11">SUM(D65:O65)</f>
        <v>2206151075.6106944</v>
      </c>
      <c r="Q65" s="158"/>
      <c r="R65" s="131">
        <f t="shared" si="10"/>
        <v>301</v>
      </c>
    </row>
    <row r="66" spans="1:18">
      <c r="A66" s="131">
        <f t="shared" ref="A66:A77" si="12">A65+1</f>
        <v>302</v>
      </c>
      <c r="B66" s="150" t="s">
        <v>115</v>
      </c>
      <c r="C66" s="156">
        <f>'1-BaseTRR'!$F$2</f>
        <v>2022</v>
      </c>
      <c r="D66" s="476">
        <v>94963.801306445457</v>
      </c>
      <c r="E66" s="476">
        <v>40530232.703177638</v>
      </c>
      <c r="F66" s="476">
        <v>56220533.654443808</v>
      </c>
      <c r="G66" s="476">
        <v>13309588.571647519</v>
      </c>
      <c r="H66" s="476">
        <v>1188586023.0124893</v>
      </c>
      <c r="I66" s="476">
        <v>14340017.1497788</v>
      </c>
      <c r="J66" s="476">
        <v>121590341.68814267</v>
      </c>
      <c r="K66" s="476">
        <v>381745453.06296265</v>
      </c>
      <c r="L66" s="476">
        <v>295016587.53804344</v>
      </c>
      <c r="M66" s="476">
        <v>44597557.37124683</v>
      </c>
      <c r="N66" s="476">
        <v>45364699.230923645</v>
      </c>
      <c r="O66" s="476">
        <v>6465718.0962768486</v>
      </c>
      <c r="P66" s="33">
        <f t="shared" si="11"/>
        <v>2207861715.8804398</v>
      </c>
      <c r="Q66" s="158"/>
      <c r="R66" s="131">
        <f t="shared" si="10"/>
        <v>302</v>
      </c>
    </row>
    <row r="67" spans="1:18">
      <c r="A67" s="131">
        <f t="shared" si="12"/>
        <v>303</v>
      </c>
      <c r="B67" s="150" t="s">
        <v>116</v>
      </c>
      <c r="C67" s="156">
        <f>'1-BaseTRR'!$F$2</f>
        <v>2022</v>
      </c>
      <c r="D67" s="476">
        <v>94251.370587278914</v>
      </c>
      <c r="E67" s="476">
        <v>40696038.525619693</v>
      </c>
      <c r="F67" s="476">
        <v>56576743.626552358</v>
      </c>
      <c r="G67" s="476">
        <v>13421557.30087881</v>
      </c>
      <c r="H67" s="476">
        <v>1196862494.138449</v>
      </c>
      <c r="I67" s="476">
        <v>14381932.267166568</v>
      </c>
      <c r="J67" s="476">
        <v>123837822.95647198</v>
      </c>
      <c r="K67" s="476">
        <v>405978642.28272241</v>
      </c>
      <c r="L67" s="476">
        <v>263248025.84582472</v>
      </c>
      <c r="M67" s="476">
        <v>44806913.871303193</v>
      </c>
      <c r="N67" s="476">
        <v>45648547.05116</v>
      </c>
      <c r="O67" s="476">
        <v>6603931.3181694867</v>
      </c>
      <c r="P67" s="33">
        <f t="shared" si="11"/>
        <v>2212156900.5549054</v>
      </c>
      <c r="Q67" s="158"/>
      <c r="R67" s="131">
        <f t="shared" si="10"/>
        <v>303</v>
      </c>
    </row>
    <row r="68" spans="1:18">
      <c r="A68" s="131">
        <f t="shared" si="12"/>
        <v>304</v>
      </c>
      <c r="B68" s="150" t="s">
        <v>117</v>
      </c>
      <c r="C68" s="156">
        <f>'1-BaseTRR'!$F$2</f>
        <v>2022</v>
      </c>
      <c r="D68" s="476">
        <v>93804.887208257074</v>
      </c>
      <c r="E68" s="476">
        <v>40864230.398995429</v>
      </c>
      <c r="F68" s="476">
        <v>56937649.113004155</v>
      </c>
      <c r="G68" s="476">
        <v>13521408.507395916</v>
      </c>
      <c r="H68" s="476">
        <v>1209316333.6923113</v>
      </c>
      <c r="I68" s="476">
        <v>14423369.927486608</v>
      </c>
      <c r="J68" s="476">
        <v>123306735.85143581</v>
      </c>
      <c r="K68" s="476">
        <v>412897106.4389106</v>
      </c>
      <c r="L68" s="476">
        <v>267114539.05573794</v>
      </c>
      <c r="M68" s="476">
        <v>45014301.940913513</v>
      </c>
      <c r="N68" s="476">
        <v>45932773.974585451</v>
      </c>
      <c r="O68" s="476">
        <v>6760739.4521572609</v>
      </c>
      <c r="P68" s="33">
        <f t="shared" si="11"/>
        <v>2236182993.2401428</v>
      </c>
      <c r="Q68" s="158"/>
      <c r="R68" s="131">
        <f t="shared" si="10"/>
        <v>304</v>
      </c>
    </row>
    <row r="69" spans="1:18">
      <c r="A69" s="131">
        <f t="shared" si="12"/>
        <v>305</v>
      </c>
      <c r="B69" s="150" t="s">
        <v>90</v>
      </c>
      <c r="C69" s="156">
        <f>'1-BaseTRR'!$F$2</f>
        <v>2022</v>
      </c>
      <c r="D69" s="476">
        <v>93922.275004186682</v>
      </c>
      <c r="E69" s="476">
        <v>41033247.817430057</v>
      </c>
      <c r="F69" s="476">
        <v>57282817.728117257</v>
      </c>
      <c r="G69" s="476">
        <v>13631594.494401768</v>
      </c>
      <c r="H69" s="476">
        <v>1219819344.8711963</v>
      </c>
      <c r="I69" s="476">
        <v>14464627.87788659</v>
      </c>
      <c r="J69" s="476">
        <v>117031579.15488671</v>
      </c>
      <c r="K69" s="476">
        <v>406827791.54559833</v>
      </c>
      <c r="L69" s="476">
        <v>286719534.57022411</v>
      </c>
      <c r="M69" s="476">
        <v>45028282.881257586</v>
      </c>
      <c r="N69" s="476">
        <v>46045385.731879771</v>
      </c>
      <c r="O69" s="476">
        <v>6918550.5952528203</v>
      </c>
      <c r="P69" s="33">
        <f t="shared" si="11"/>
        <v>2254896679.5431356</v>
      </c>
      <c r="Q69" s="158"/>
      <c r="R69" s="131">
        <f t="shared" si="10"/>
        <v>305</v>
      </c>
    </row>
    <row r="70" spans="1:18">
      <c r="A70" s="131">
        <f t="shared" si="12"/>
        <v>306</v>
      </c>
      <c r="B70" s="150" t="s">
        <v>277</v>
      </c>
      <c r="C70" s="156">
        <f>'1-BaseTRR'!$F$2</f>
        <v>2022</v>
      </c>
      <c r="D70" s="476">
        <v>92860.618897041815</v>
      </c>
      <c r="E70" s="476">
        <v>41201249.013285071</v>
      </c>
      <c r="F70" s="476">
        <v>57635559.168950021</v>
      </c>
      <c r="G70" s="476">
        <v>13744747.452762704</v>
      </c>
      <c r="H70" s="476">
        <v>1220660415.744056</v>
      </c>
      <c r="I70" s="476">
        <v>14505500.720463274</v>
      </c>
      <c r="J70" s="476">
        <v>117577956.39670758</v>
      </c>
      <c r="K70" s="476">
        <v>410433071.37491149</v>
      </c>
      <c r="L70" s="476">
        <v>287841889.64135551</v>
      </c>
      <c r="M70" s="476">
        <v>45235944.564948484</v>
      </c>
      <c r="N70" s="476">
        <v>46330119.348948792</v>
      </c>
      <c r="O70" s="476">
        <v>7068553.2192339413</v>
      </c>
      <c r="P70" s="33">
        <f t="shared" si="11"/>
        <v>2262327867.2645202</v>
      </c>
      <c r="Q70" s="158"/>
      <c r="R70" s="131">
        <f t="shared" si="10"/>
        <v>306</v>
      </c>
    </row>
    <row r="71" spans="1:18">
      <c r="A71" s="131">
        <f t="shared" si="12"/>
        <v>307</v>
      </c>
      <c r="B71" s="150" t="s">
        <v>119</v>
      </c>
      <c r="C71" s="156">
        <f>'1-BaseTRR'!$F$2</f>
        <v>2022</v>
      </c>
      <c r="D71" s="476">
        <v>86258.119425919882</v>
      </c>
      <c r="E71" s="476">
        <v>41368853.606803931</v>
      </c>
      <c r="F71" s="476">
        <v>57992148.890063949</v>
      </c>
      <c r="G71" s="476">
        <v>13861549.690636499</v>
      </c>
      <c r="H71" s="476">
        <v>1230648232.0916827</v>
      </c>
      <c r="I71" s="476">
        <v>14542341.941497372</v>
      </c>
      <c r="J71" s="476">
        <v>118269655.61025013</v>
      </c>
      <c r="K71" s="476">
        <v>414904518.27581304</v>
      </c>
      <c r="L71" s="476">
        <v>289295358.18422693</v>
      </c>
      <c r="M71" s="476">
        <v>45446537.389032602</v>
      </c>
      <c r="N71" s="476">
        <v>46613552.473375589</v>
      </c>
      <c r="O71" s="476">
        <v>7217343.1022694809</v>
      </c>
      <c r="P71" s="33">
        <f t="shared" si="11"/>
        <v>2280246349.3750782</v>
      </c>
      <c r="Q71" s="158"/>
      <c r="R71" s="131">
        <f t="shared" si="10"/>
        <v>307</v>
      </c>
    </row>
    <row r="72" spans="1:18">
      <c r="A72" s="131">
        <f t="shared" si="12"/>
        <v>308</v>
      </c>
      <c r="B72" s="150" t="s">
        <v>120</v>
      </c>
      <c r="C72" s="156">
        <f>'1-BaseTRR'!$F$2</f>
        <v>2022</v>
      </c>
      <c r="D72" s="476">
        <v>-7289.2286878393043</v>
      </c>
      <c r="E72" s="476">
        <v>41537535.710666753</v>
      </c>
      <c r="F72" s="476">
        <v>58347905.862448648</v>
      </c>
      <c r="G72" s="476">
        <v>13977513.443983709</v>
      </c>
      <c r="H72" s="476">
        <v>1237850895.3156762</v>
      </c>
      <c r="I72" s="476">
        <v>14475941.557168156</v>
      </c>
      <c r="J72" s="476">
        <v>118948936.73922408</v>
      </c>
      <c r="K72" s="476">
        <v>417735094.61482412</v>
      </c>
      <c r="L72" s="476">
        <v>289171647.57415223</v>
      </c>
      <c r="M72" s="476">
        <v>45656271.318762973</v>
      </c>
      <c r="N72" s="476">
        <v>46899126.205202475</v>
      </c>
      <c r="O72" s="476">
        <v>7388111.5304562971</v>
      </c>
      <c r="P72" s="33">
        <f t="shared" si="11"/>
        <v>2291981690.6438775</v>
      </c>
      <c r="Q72" s="158"/>
      <c r="R72" s="131">
        <f t="shared" si="10"/>
        <v>308</v>
      </c>
    </row>
    <row r="73" spans="1:18">
      <c r="A73" s="131">
        <f t="shared" si="12"/>
        <v>309</v>
      </c>
      <c r="B73" s="150" t="s">
        <v>121</v>
      </c>
      <c r="C73" s="156">
        <f>'1-BaseTRR'!$F$2</f>
        <v>2022</v>
      </c>
      <c r="D73" s="476">
        <v>-8731.7632816906989</v>
      </c>
      <c r="E73" s="476">
        <v>41706252.600003637</v>
      </c>
      <c r="F73" s="476">
        <v>58708994.382545292</v>
      </c>
      <c r="G73" s="476">
        <v>14095915.05266374</v>
      </c>
      <c r="H73" s="476">
        <v>1248524709.9608731</v>
      </c>
      <c r="I73" s="476">
        <v>14516611.181439351</v>
      </c>
      <c r="J73" s="476">
        <v>118836630.15835187</v>
      </c>
      <c r="K73" s="476">
        <v>419269575.76611191</v>
      </c>
      <c r="L73" s="476">
        <v>288214723.93459958</v>
      </c>
      <c r="M73" s="476">
        <v>45866824.475820273</v>
      </c>
      <c r="N73" s="476">
        <v>47175226.970286578</v>
      </c>
      <c r="O73" s="476">
        <v>7527184.4335547006</v>
      </c>
      <c r="P73" s="33">
        <f t="shared" si="11"/>
        <v>2304433917.1529679</v>
      </c>
      <c r="Q73" s="158"/>
      <c r="R73" s="131">
        <f t="shared" si="10"/>
        <v>309</v>
      </c>
    </row>
    <row r="74" spans="1:18">
      <c r="A74" s="131">
        <f t="shared" si="12"/>
        <v>310</v>
      </c>
      <c r="B74" s="150" t="s">
        <v>122</v>
      </c>
      <c r="C74" s="156">
        <f>'1-BaseTRR'!$F$2</f>
        <v>2022</v>
      </c>
      <c r="D74" s="476">
        <v>-9036.5286028558912</v>
      </c>
      <c r="E74" s="476">
        <v>41875191.691666976</v>
      </c>
      <c r="F74" s="476">
        <v>59066197.025570057</v>
      </c>
      <c r="G74" s="476">
        <v>14245187.984632701</v>
      </c>
      <c r="H74" s="476">
        <v>1256770574.2198327</v>
      </c>
      <c r="I74" s="476">
        <v>14548352.745989941</v>
      </c>
      <c r="J74" s="476">
        <v>118649329.01952085</v>
      </c>
      <c r="K74" s="476">
        <v>423787511.64748985</v>
      </c>
      <c r="L74" s="476">
        <v>284752663.5451147</v>
      </c>
      <c r="M74" s="476">
        <v>46077278.282125048</v>
      </c>
      <c r="N74" s="476">
        <v>47457269.550854191</v>
      </c>
      <c r="O74" s="476">
        <v>7412505.3010998908</v>
      </c>
      <c r="P74" s="33">
        <f t="shared" si="11"/>
        <v>2314633024.4852939</v>
      </c>
      <c r="Q74" s="158"/>
      <c r="R74" s="131">
        <f t="shared" si="10"/>
        <v>310</v>
      </c>
    </row>
    <row r="75" spans="1:18">
      <c r="A75" s="131">
        <f t="shared" si="12"/>
        <v>311</v>
      </c>
      <c r="B75" s="150" t="s">
        <v>123</v>
      </c>
      <c r="C75" s="156">
        <f>'1-BaseTRR'!$F$2</f>
        <v>2022</v>
      </c>
      <c r="D75" s="476">
        <v>-9094.1062678171875</v>
      </c>
      <c r="E75" s="476">
        <v>42043272.823104486</v>
      </c>
      <c r="F75" s="476">
        <v>59422328.520644546</v>
      </c>
      <c r="G75" s="476">
        <v>14372427.777761798</v>
      </c>
      <c r="H75" s="476">
        <v>1261715132.2299914</v>
      </c>
      <c r="I75" s="476">
        <v>14628421.406138724</v>
      </c>
      <c r="J75" s="476">
        <v>118549062.80610403</v>
      </c>
      <c r="K75" s="476">
        <v>424955951.51788718</v>
      </c>
      <c r="L75" s="476">
        <v>285028854.38689977</v>
      </c>
      <c r="M75" s="476">
        <v>46287945.64506045</v>
      </c>
      <c r="N75" s="476">
        <v>47738853.0369635</v>
      </c>
      <c r="O75" s="476">
        <v>7585752.1022164077</v>
      </c>
      <c r="P75" s="33">
        <f t="shared" si="11"/>
        <v>2322318908.1465044</v>
      </c>
      <c r="Q75" s="158"/>
      <c r="R75" s="131">
        <f t="shared" si="10"/>
        <v>311</v>
      </c>
    </row>
    <row r="76" spans="1:18">
      <c r="A76" s="131">
        <f t="shared" si="12"/>
        <v>312</v>
      </c>
      <c r="B76" s="150" t="s">
        <v>113</v>
      </c>
      <c r="C76" s="156">
        <f>'1-BaseTRR'!$F$2</f>
        <v>2022</v>
      </c>
      <c r="D76" s="432">
        <v>-9017.8346975886452</v>
      </c>
      <c r="E76" s="432">
        <v>41990231.279739</v>
      </c>
      <c r="F76" s="432">
        <v>54472756.251418032</v>
      </c>
      <c r="G76" s="432">
        <v>14437449.208203025</v>
      </c>
      <c r="H76" s="432">
        <v>1276419106.8788404</v>
      </c>
      <c r="I76" s="432">
        <v>14666414.053038627</v>
      </c>
      <c r="J76" s="432">
        <v>119663568.28572381</v>
      </c>
      <c r="K76" s="432">
        <v>433346770.07812124</v>
      </c>
      <c r="L76" s="432">
        <v>282664335.8489911</v>
      </c>
      <c r="M76" s="432">
        <v>46390037.575918667</v>
      </c>
      <c r="N76" s="432">
        <v>47892548.666017883</v>
      </c>
      <c r="O76" s="432">
        <v>7509178.9976306409</v>
      </c>
      <c r="P76" s="504">
        <f t="shared" si="11"/>
        <v>2339443379.2889447</v>
      </c>
      <c r="Q76" s="203"/>
      <c r="R76" s="131">
        <f t="shared" si="10"/>
        <v>312</v>
      </c>
    </row>
    <row r="77" spans="1:18">
      <c r="A77" s="131">
        <f t="shared" si="12"/>
        <v>313</v>
      </c>
      <c r="B77" s="630" t="s">
        <v>362</v>
      </c>
      <c r="C77" s="631"/>
      <c r="D77" s="632">
        <f>SUM(D64:D76)/13</f>
        <v>53143.906854107241</v>
      </c>
      <c r="E77" s="632">
        <f>SUM(E64:E76)/13</f>
        <v>41169756.023349606</v>
      </c>
      <c r="F77" s="632">
        <f>SUM(F64:F76)/13</f>
        <v>57109957.431690939</v>
      </c>
      <c r="G77" s="632">
        <f>SUM(G64:G76)/13</f>
        <v>13728049.128916454</v>
      </c>
      <c r="H77" s="632">
        <f t="shared" ref="H77:P77" si="13">SUM(H64:H76)/13</f>
        <v>1220862963.7485101</v>
      </c>
      <c r="I77" s="632">
        <f t="shared" si="13"/>
        <v>14463438.098986872</v>
      </c>
      <c r="J77" s="632">
        <f t="shared" si="13"/>
        <v>119963740.98798892</v>
      </c>
      <c r="K77" s="632">
        <f t="shared" si="13"/>
        <v>409479332.02652031</v>
      </c>
      <c r="L77" s="632">
        <f t="shared" si="13"/>
        <v>286646864.74289596</v>
      </c>
      <c r="M77" s="632">
        <f t="shared" si="13"/>
        <v>45299514.706225201</v>
      </c>
      <c r="N77" s="632">
        <f t="shared" si="13"/>
        <v>46374912.176799662</v>
      </c>
      <c r="O77" s="632">
        <f t="shared" si="13"/>
        <v>6982652.5740697589</v>
      </c>
      <c r="P77" s="633">
        <f t="shared" si="13"/>
        <v>2262134325.5528083</v>
      </c>
      <c r="Q77" s="158"/>
      <c r="R77" s="131">
        <f t="shared" si="10"/>
        <v>313</v>
      </c>
    </row>
    <row r="78" spans="1:18">
      <c r="A78" s="131"/>
      <c r="B78" s="161"/>
      <c r="C78" s="161"/>
      <c r="D78" s="20"/>
      <c r="E78" s="20"/>
      <c r="F78" s="20"/>
      <c r="G78" s="20"/>
      <c r="H78" s="20"/>
      <c r="I78" s="20"/>
      <c r="J78" s="20"/>
      <c r="K78" s="20"/>
      <c r="L78" s="20"/>
      <c r="M78" s="20"/>
      <c r="N78" s="20"/>
      <c r="R78" s="131"/>
    </row>
    <row r="79" spans="1:18">
      <c r="A79" s="131"/>
      <c r="B79" s="161"/>
      <c r="C79" s="161"/>
      <c r="D79" s="20"/>
      <c r="E79" s="20"/>
      <c r="F79" s="20"/>
      <c r="G79" s="20"/>
      <c r="H79" s="20"/>
      <c r="I79" s="20"/>
      <c r="J79" s="20"/>
      <c r="K79" s="20"/>
      <c r="L79" s="20"/>
      <c r="M79" s="20"/>
      <c r="N79" s="20"/>
      <c r="R79" s="131"/>
    </row>
    <row r="80" spans="1:18">
      <c r="B80" s="57" t="s">
        <v>427</v>
      </c>
      <c r="C80" s="57"/>
      <c r="D80" s="144"/>
      <c r="E80" s="144"/>
      <c r="F80" s="144"/>
      <c r="G80" s="144"/>
      <c r="H80" s="144"/>
      <c r="I80" s="144"/>
      <c r="J80" s="144"/>
      <c r="K80" s="144"/>
      <c r="L80" s="144"/>
      <c r="M80" s="144"/>
      <c r="N80" s="54"/>
      <c r="O80" s="54"/>
      <c r="P80" s="54"/>
      <c r="Q80" s="54"/>
      <c r="R80" s="131"/>
    </row>
    <row r="81" spans="1:18">
      <c r="B81" s="150" t="s">
        <v>1891</v>
      </c>
      <c r="R81" s="131"/>
    </row>
    <row r="82" spans="1:18">
      <c r="R82" s="131"/>
    </row>
    <row r="83" spans="1:18">
      <c r="A83" s="12"/>
      <c r="D83" s="122" t="s">
        <v>100</v>
      </c>
      <c r="E83" s="122" t="s">
        <v>101</v>
      </c>
      <c r="F83" s="122" t="s">
        <v>102</v>
      </c>
      <c r="G83" s="122"/>
      <c r="H83" s="122"/>
      <c r="I83" s="122"/>
      <c r="J83" s="122"/>
      <c r="K83" s="122"/>
      <c r="L83" s="122"/>
      <c r="M83" s="122"/>
      <c r="N83" s="122"/>
      <c r="R83" s="131"/>
    </row>
    <row r="84" spans="1:18">
      <c r="A84" s="12"/>
      <c r="D84" s="140" t="s">
        <v>366</v>
      </c>
      <c r="E84" s="153" t="s">
        <v>125</v>
      </c>
      <c r="F84" s="153" t="s">
        <v>125</v>
      </c>
      <c r="G84" s="122"/>
      <c r="H84" s="122"/>
      <c r="I84" s="122"/>
      <c r="J84" s="122"/>
      <c r="K84" s="122"/>
      <c r="L84" s="122"/>
      <c r="M84" s="122"/>
      <c r="N84" s="122"/>
      <c r="R84" s="131"/>
    </row>
    <row r="85" spans="1:18">
      <c r="B85" s="8"/>
      <c r="C85" s="8"/>
      <c r="N85" s="30"/>
      <c r="R85" s="131"/>
    </row>
    <row r="86" spans="1:18">
      <c r="A86" s="119" t="s">
        <v>124</v>
      </c>
      <c r="B86" s="119" t="s">
        <v>82</v>
      </c>
      <c r="C86" s="119" t="s">
        <v>111</v>
      </c>
      <c r="D86" s="122" t="s">
        <v>428</v>
      </c>
      <c r="E86" s="122" t="s">
        <v>370</v>
      </c>
      <c r="F86" s="122" t="s">
        <v>371</v>
      </c>
      <c r="G86" s="122"/>
      <c r="H86" s="122"/>
      <c r="I86" s="122"/>
      <c r="J86" s="122"/>
      <c r="K86" s="122"/>
      <c r="L86" s="122"/>
      <c r="M86" s="122"/>
      <c r="N86" s="119"/>
      <c r="R86" s="119" t="str">
        <f>A86</f>
        <v>Line</v>
      </c>
    </row>
    <row r="87" spans="1:18">
      <c r="A87" s="131">
        <v>400</v>
      </c>
      <c r="B87" s="150" t="s">
        <v>113</v>
      </c>
      <c r="C87" s="156">
        <f>'1-BaseTRR'!$F$2-1</f>
        <v>2021</v>
      </c>
      <c r="D87" s="474">
        <f>+E87+F87</f>
        <v>334009022.54999995</v>
      </c>
      <c r="E87" s="476">
        <v>121844420.64098677</v>
      </c>
      <c r="F87" s="476">
        <v>212164601.90901318</v>
      </c>
      <c r="G87" s="164" t="s">
        <v>1390</v>
      </c>
      <c r="H87" s="164"/>
      <c r="I87" s="164"/>
      <c r="J87" s="164"/>
      <c r="K87" s="164"/>
      <c r="L87" s="164"/>
      <c r="M87" s="164"/>
      <c r="N87" s="20"/>
      <c r="R87" s="131">
        <f t="shared" ref="R87:R89" si="14">A87</f>
        <v>400</v>
      </c>
    </row>
    <row r="88" spans="1:18">
      <c r="A88" s="131">
        <f>+A87+1</f>
        <v>401</v>
      </c>
      <c r="B88" s="159" t="s">
        <v>113</v>
      </c>
      <c r="C88" s="160">
        <f>'1-BaseTRR'!$F$2</f>
        <v>2022</v>
      </c>
      <c r="D88" s="475">
        <f>+E88+F88</f>
        <v>404647886.74576372</v>
      </c>
      <c r="E88" s="477">
        <v>141543432.51310569</v>
      </c>
      <c r="F88" s="477">
        <v>263104454.23265803</v>
      </c>
      <c r="G88" s="164" t="s">
        <v>1385</v>
      </c>
      <c r="H88" s="165"/>
      <c r="I88" s="165"/>
      <c r="J88" s="165"/>
      <c r="K88" s="165"/>
      <c r="L88" s="165"/>
      <c r="M88" s="165"/>
      <c r="N88" s="165"/>
      <c r="R88" s="131">
        <f t="shared" si="14"/>
        <v>401</v>
      </c>
    </row>
    <row r="89" spans="1:18">
      <c r="A89" s="131">
        <f t="shared" ref="A89" si="15">A88+1</f>
        <v>402</v>
      </c>
      <c r="B89" s="169" t="s">
        <v>372</v>
      </c>
      <c r="C89" s="169"/>
      <c r="D89" s="547">
        <f t="shared" ref="D89:F89" si="16">AVERAGE(D87:D88)</f>
        <v>369328454.64788187</v>
      </c>
      <c r="E89" s="547">
        <f t="shared" si="16"/>
        <v>131693926.57704623</v>
      </c>
      <c r="F89" s="547">
        <f t="shared" si="16"/>
        <v>237634528.07083559</v>
      </c>
      <c r="G89" s="20" t="s">
        <v>1159</v>
      </c>
      <c r="H89" s="20"/>
      <c r="I89" s="20"/>
      <c r="J89" s="20"/>
      <c r="K89" s="20"/>
      <c r="L89" s="20"/>
      <c r="M89" s="20"/>
      <c r="N89" s="20"/>
      <c r="R89" s="131">
        <f t="shared" si="14"/>
        <v>402</v>
      </c>
    </row>
    <row r="90" spans="1:18">
      <c r="A90" s="131"/>
      <c r="B90" s="161"/>
      <c r="C90" s="161"/>
      <c r="D90" s="20"/>
      <c r="E90" s="20"/>
      <c r="F90" s="20"/>
      <c r="G90" s="20"/>
      <c r="H90" s="20"/>
      <c r="I90" s="20"/>
      <c r="J90" s="20"/>
      <c r="K90" s="20"/>
      <c r="L90" s="20"/>
      <c r="M90" s="20"/>
      <c r="N90" s="20"/>
      <c r="R90" s="131"/>
    </row>
    <row r="91" spans="1:18">
      <c r="A91" s="131"/>
      <c r="B91" s="161"/>
      <c r="C91" s="161"/>
      <c r="D91" s="20"/>
      <c r="E91" s="20"/>
      <c r="F91" s="20"/>
      <c r="G91" s="20"/>
      <c r="H91" s="20"/>
      <c r="I91" s="20"/>
      <c r="J91" s="20"/>
      <c r="K91" s="20"/>
      <c r="L91" s="20"/>
      <c r="M91" s="20"/>
      <c r="N91" s="20"/>
      <c r="R91" s="131"/>
    </row>
    <row r="92" spans="1:18">
      <c r="B92" s="57" t="s">
        <v>429</v>
      </c>
      <c r="C92" s="57"/>
      <c r="D92" s="144"/>
      <c r="E92" s="144"/>
      <c r="F92" s="144"/>
      <c r="G92" s="144"/>
      <c r="H92" s="144"/>
      <c r="I92" s="144"/>
      <c r="J92" s="144"/>
      <c r="K92" s="144"/>
      <c r="L92" s="144"/>
      <c r="M92" s="144"/>
      <c r="N92" s="54"/>
      <c r="O92" s="54"/>
      <c r="P92" s="54"/>
      <c r="Q92" s="54"/>
      <c r="R92" s="131"/>
    </row>
    <row r="93" spans="1:18">
      <c r="B93" s="150" t="s">
        <v>1892</v>
      </c>
    </row>
    <row r="95" spans="1:18">
      <c r="A95" s="12"/>
      <c r="D95" s="122" t="s">
        <v>100</v>
      </c>
      <c r="E95" s="122" t="s">
        <v>101</v>
      </c>
      <c r="F95" s="122" t="s">
        <v>102</v>
      </c>
      <c r="G95" s="122" t="s">
        <v>103</v>
      </c>
      <c r="H95" s="122" t="s">
        <v>104</v>
      </c>
      <c r="I95" s="122"/>
      <c r="J95" s="122"/>
      <c r="K95" s="122"/>
      <c r="L95" s="122"/>
      <c r="M95" s="122"/>
      <c r="N95" s="122"/>
      <c r="R95" s="131"/>
    </row>
    <row r="96" spans="1:18" ht="29">
      <c r="A96" s="12"/>
      <c r="D96" s="153" t="s">
        <v>126</v>
      </c>
      <c r="E96" s="153" t="s">
        <v>1057</v>
      </c>
      <c r="F96" s="166" t="s">
        <v>374</v>
      </c>
      <c r="G96" s="153" t="s">
        <v>1059</v>
      </c>
      <c r="H96" s="153" t="s">
        <v>1060</v>
      </c>
      <c r="I96" s="122"/>
      <c r="J96" s="122"/>
      <c r="K96" s="122"/>
      <c r="L96" s="122"/>
      <c r="M96" s="122"/>
      <c r="N96" s="122"/>
      <c r="R96" s="131"/>
    </row>
    <row r="97" spans="1:18">
      <c r="A97" s="12"/>
      <c r="D97" s="122"/>
      <c r="E97" s="122"/>
      <c r="F97" s="122"/>
      <c r="G97" s="122"/>
      <c r="H97" s="122"/>
      <c r="I97" s="122"/>
      <c r="J97" s="122"/>
      <c r="K97" s="122"/>
      <c r="L97" s="122"/>
      <c r="M97" s="122"/>
      <c r="N97" s="122"/>
      <c r="R97" s="131"/>
    </row>
    <row r="98" spans="1:18">
      <c r="A98" s="12"/>
      <c r="D98" s="122"/>
      <c r="E98" s="8" t="s">
        <v>375</v>
      </c>
      <c r="F98" s="8" t="s">
        <v>375</v>
      </c>
      <c r="G98" s="122"/>
      <c r="H98" s="122"/>
      <c r="I98" s="122"/>
      <c r="J98" s="122"/>
      <c r="K98" s="122"/>
      <c r="L98" s="122"/>
      <c r="M98" s="122"/>
      <c r="N98" s="122"/>
      <c r="R98" s="131"/>
    </row>
    <row r="99" spans="1:18">
      <c r="B99" s="8"/>
      <c r="C99" s="8"/>
      <c r="D99" s="123" t="s">
        <v>376</v>
      </c>
      <c r="E99" s="8" t="s">
        <v>190</v>
      </c>
      <c r="F99" s="8" t="s">
        <v>190</v>
      </c>
      <c r="N99" s="30"/>
      <c r="R99" s="131"/>
    </row>
    <row r="100" spans="1:18">
      <c r="A100" s="119" t="s">
        <v>124</v>
      </c>
      <c r="B100" s="119" t="s">
        <v>82</v>
      </c>
      <c r="C100" s="119" t="s">
        <v>111</v>
      </c>
      <c r="D100" s="168" t="s">
        <v>377</v>
      </c>
      <c r="E100" s="168" t="s">
        <v>378</v>
      </c>
      <c r="F100" s="163" t="s">
        <v>379</v>
      </c>
      <c r="G100" s="122" t="s">
        <v>370</v>
      </c>
      <c r="H100" s="122" t="s">
        <v>371</v>
      </c>
      <c r="I100" s="122"/>
      <c r="J100" s="122"/>
      <c r="K100" s="122"/>
      <c r="L100" s="122"/>
      <c r="M100" s="122"/>
      <c r="N100" s="119"/>
      <c r="R100" s="119" t="str">
        <f>A100</f>
        <v>Line</v>
      </c>
    </row>
    <row r="101" spans="1:18">
      <c r="A101" s="131">
        <v>500</v>
      </c>
      <c r="B101" s="150" t="s">
        <v>113</v>
      </c>
      <c r="C101" s="156">
        <f>'1-BaseTRR'!$F$2-1</f>
        <v>2021</v>
      </c>
      <c r="D101" s="51">
        <v>1006714730.6500001</v>
      </c>
      <c r="E101" s="31">
        <f>'24-Allocators'!$C$24</f>
        <v>9.5754660785216397E-2</v>
      </c>
      <c r="F101" s="474">
        <f>+D101*E101</f>
        <v>96397627.540871248</v>
      </c>
      <c r="G101" s="478">
        <f>+F101*'24-Allocators'!$C$43</f>
        <v>33034899.005550642</v>
      </c>
      <c r="H101" s="478">
        <f>+F101*'24-Allocators'!$C$44</f>
        <v>63362728.535320602</v>
      </c>
      <c r="I101" s="164" t="s">
        <v>1387</v>
      </c>
      <c r="J101" s="164"/>
      <c r="K101" s="164"/>
      <c r="L101" s="164"/>
      <c r="M101" s="164"/>
      <c r="N101" s="20"/>
      <c r="R101" s="131">
        <f t="shared" ref="R101:R103" si="17">A101</f>
        <v>500</v>
      </c>
    </row>
    <row r="102" spans="1:18">
      <c r="A102" s="131">
        <f>+A101+1</f>
        <v>501</v>
      </c>
      <c r="B102" s="159" t="s">
        <v>113</v>
      </c>
      <c r="C102" s="160">
        <f>'1-BaseTRR'!$F$2</f>
        <v>2022</v>
      </c>
      <c r="D102" s="48">
        <v>1120986952.8200002</v>
      </c>
      <c r="E102" s="41">
        <f>'24-Allocators'!$C$24</f>
        <v>9.5754660785216397E-2</v>
      </c>
      <c r="F102" s="475">
        <f>+D102*E102</f>
        <v>107339725.4119325</v>
      </c>
      <c r="G102" s="475">
        <f>+F102*'24-Allocators'!$C$43</f>
        <v>36784691.477633014</v>
      </c>
      <c r="H102" s="475">
        <f>+F102*'24-Allocators'!$C$44</f>
        <v>70555033.934299484</v>
      </c>
      <c r="I102" s="164" t="s">
        <v>1386</v>
      </c>
      <c r="J102" s="165"/>
      <c r="K102" s="165"/>
      <c r="L102" s="165"/>
      <c r="M102" s="165"/>
      <c r="N102" s="165"/>
      <c r="R102" s="131">
        <f t="shared" si="17"/>
        <v>501</v>
      </c>
    </row>
    <row r="103" spans="1:18">
      <c r="A103" s="131">
        <f t="shared" ref="A103" si="18">A102+1</f>
        <v>502</v>
      </c>
      <c r="B103" s="169" t="s">
        <v>372</v>
      </c>
      <c r="C103" s="169"/>
      <c r="D103" s="547">
        <f>AVERAGE(D101:D102)</f>
        <v>1063850841.7350001</v>
      </c>
      <c r="E103" s="12"/>
      <c r="F103" s="547">
        <f>AVERAGE(F101:F102)</f>
        <v>101868676.47640187</v>
      </c>
      <c r="G103" s="547">
        <f t="shared" ref="G103:H103" si="19">AVERAGE(G101:G102)</f>
        <v>34909795.241591826</v>
      </c>
      <c r="H103" s="547">
        <f t="shared" si="19"/>
        <v>66958881.234810039</v>
      </c>
      <c r="I103" s="20" t="s">
        <v>1158</v>
      </c>
      <c r="J103" s="20"/>
      <c r="K103" s="20"/>
      <c r="L103" s="20"/>
      <c r="M103" s="20"/>
      <c r="N103" s="20"/>
      <c r="R103" s="131">
        <f t="shared" si="17"/>
        <v>502</v>
      </c>
    </row>
    <row r="104" spans="1:18">
      <c r="A104" s="131"/>
      <c r="B104" s="150"/>
      <c r="C104" s="150"/>
      <c r="D104" s="20"/>
      <c r="E104" s="20"/>
      <c r="F104" s="20"/>
      <c r="G104" s="20"/>
      <c r="H104" s="20"/>
      <c r="I104" s="20"/>
      <c r="J104" s="20"/>
      <c r="K104" s="20"/>
      <c r="L104" s="20"/>
      <c r="M104" s="20"/>
      <c r="N104" s="20"/>
      <c r="R104" s="131"/>
    </row>
    <row r="105" spans="1:18">
      <c r="A105" s="131"/>
      <c r="B105" s="150"/>
      <c r="C105" s="150"/>
      <c r="D105" s="20"/>
      <c r="E105" s="20"/>
      <c r="F105" s="20"/>
      <c r="G105" s="20"/>
      <c r="H105" s="20"/>
      <c r="I105" s="20"/>
      <c r="J105" s="20"/>
      <c r="K105" s="20"/>
      <c r="L105" s="20"/>
      <c r="M105" s="20"/>
      <c r="N105" s="20"/>
      <c r="R105" s="131"/>
    </row>
    <row r="106" spans="1:18">
      <c r="B106" s="57" t="s">
        <v>430</v>
      </c>
      <c r="C106" s="57"/>
      <c r="D106" s="144"/>
      <c r="E106" s="144"/>
      <c r="F106" s="144"/>
      <c r="G106" s="144"/>
      <c r="H106" s="144"/>
      <c r="I106" s="144"/>
      <c r="J106" s="144"/>
      <c r="K106" s="144"/>
      <c r="L106" s="144"/>
      <c r="M106" s="144"/>
      <c r="N106" s="54"/>
      <c r="O106" s="54"/>
      <c r="P106" s="54"/>
      <c r="Q106" s="54"/>
      <c r="R106" s="131"/>
    </row>
    <row r="107" spans="1:18">
      <c r="B107" s="150" t="s">
        <v>1893</v>
      </c>
    </row>
    <row r="109" spans="1:18">
      <c r="A109" s="12"/>
      <c r="D109" s="122" t="s">
        <v>100</v>
      </c>
      <c r="E109" s="122" t="s">
        <v>101</v>
      </c>
      <c r="F109" s="122" t="s">
        <v>102</v>
      </c>
      <c r="G109" s="122" t="s">
        <v>103</v>
      </c>
      <c r="H109" s="122" t="s">
        <v>104</v>
      </c>
      <c r="I109" s="122"/>
      <c r="J109" s="122"/>
      <c r="K109" s="122"/>
      <c r="L109" s="122"/>
      <c r="M109" s="122"/>
      <c r="N109" s="122"/>
      <c r="R109" s="131"/>
    </row>
    <row r="110" spans="1:18" ht="29">
      <c r="A110" s="12"/>
      <c r="D110" s="153" t="s">
        <v>169</v>
      </c>
      <c r="E110" s="153" t="s">
        <v>1058</v>
      </c>
      <c r="F110" s="166" t="s">
        <v>374</v>
      </c>
      <c r="G110" s="153" t="s">
        <v>1059</v>
      </c>
      <c r="H110" s="153" t="s">
        <v>1060</v>
      </c>
      <c r="I110" s="122"/>
      <c r="J110" s="122"/>
      <c r="K110" s="122"/>
      <c r="L110" s="122"/>
      <c r="M110" s="122"/>
      <c r="N110" s="122"/>
      <c r="R110" s="131"/>
    </row>
    <row r="111" spans="1:18">
      <c r="A111" s="12"/>
      <c r="D111" s="122"/>
      <c r="E111" s="122"/>
      <c r="F111" s="122"/>
      <c r="G111" s="122"/>
      <c r="H111" s="122"/>
      <c r="I111" s="122"/>
      <c r="J111" s="122"/>
      <c r="K111" s="122"/>
      <c r="L111" s="122"/>
      <c r="M111" s="122"/>
      <c r="N111" s="122"/>
      <c r="R111" s="131"/>
    </row>
    <row r="112" spans="1:18">
      <c r="A112" s="12"/>
      <c r="D112" s="122"/>
      <c r="E112" s="8" t="s">
        <v>375</v>
      </c>
      <c r="F112" s="8" t="s">
        <v>375</v>
      </c>
      <c r="G112" s="122"/>
      <c r="H112" s="122"/>
      <c r="I112" s="122"/>
      <c r="J112" s="122"/>
      <c r="K112" s="122"/>
      <c r="L112" s="122"/>
      <c r="M112" s="122"/>
      <c r="N112" s="122"/>
      <c r="R112" s="131"/>
    </row>
    <row r="113" spans="1:18">
      <c r="B113" s="8"/>
      <c r="C113" s="8"/>
      <c r="D113" s="123" t="s">
        <v>382</v>
      </c>
      <c r="E113" s="8" t="s">
        <v>190</v>
      </c>
      <c r="F113" s="8" t="s">
        <v>190</v>
      </c>
      <c r="N113" s="30"/>
      <c r="R113" s="131"/>
    </row>
    <row r="114" spans="1:18">
      <c r="A114" s="119" t="s">
        <v>124</v>
      </c>
      <c r="B114" s="119" t="s">
        <v>82</v>
      </c>
      <c r="C114" s="119" t="s">
        <v>111</v>
      </c>
      <c r="D114" s="168" t="s">
        <v>377</v>
      </c>
      <c r="E114" s="168" t="s">
        <v>378</v>
      </c>
      <c r="F114" s="163" t="s">
        <v>379</v>
      </c>
      <c r="G114" s="122" t="s">
        <v>370</v>
      </c>
      <c r="H114" s="122" t="s">
        <v>371</v>
      </c>
      <c r="I114" s="122"/>
      <c r="J114" s="122"/>
      <c r="K114" s="122"/>
      <c r="L114" s="122"/>
      <c r="M114" s="122"/>
      <c r="N114" s="119"/>
      <c r="R114" s="119" t="str">
        <f>A114</f>
        <v>Line</v>
      </c>
    </row>
    <row r="115" spans="1:18">
      <c r="A115" s="131">
        <v>600</v>
      </c>
      <c r="B115" s="150" t="s">
        <v>113</v>
      </c>
      <c r="C115" s="156">
        <f>'1-BaseTRR'!$F$2-1</f>
        <v>2021</v>
      </c>
      <c r="D115" s="51">
        <v>77287812.320000023</v>
      </c>
      <c r="E115" s="31">
        <f>'24-Allocators'!$C$23</f>
        <v>0.13539553206179952</v>
      </c>
      <c r="F115" s="474">
        <f>+D115*E115</f>
        <v>10464424.470958907</v>
      </c>
      <c r="G115" s="478">
        <f>+F115*'24-Allocators'!$C$43</f>
        <v>3586096.612209382</v>
      </c>
      <c r="H115" s="478">
        <f>+F115*'24-Allocators'!$C$44</f>
        <v>6878327.8587495247</v>
      </c>
      <c r="I115" s="164" t="s">
        <v>1389</v>
      </c>
      <c r="J115" s="164"/>
      <c r="K115" s="164"/>
      <c r="L115" s="164"/>
      <c r="M115" s="164"/>
      <c r="N115" s="20"/>
      <c r="R115" s="131">
        <f t="shared" ref="R115:R117" si="20">A115</f>
        <v>600</v>
      </c>
    </row>
    <row r="116" spans="1:18">
      <c r="A116" s="131">
        <f>+A115+1</f>
        <v>601</v>
      </c>
      <c r="B116" s="159" t="s">
        <v>113</v>
      </c>
      <c r="C116" s="160">
        <f>'1-BaseTRR'!$F$2</f>
        <v>2022</v>
      </c>
      <c r="D116" s="48">
        <v>93272378.620000109</v>
      </c>
      <c r="E116" s="41">
        <f>'24-Allocators'!$C$23</f>
        <v>0.13539553206179952</v>
      </c>
      <c r="F116" s="475">
        <f>+D116*E116</f>
        <v>12628663.329924529</v>
      </c>
      <c r="G116" s="475">
        <f>+F116*'24-Allocators'!$C$43</f>
        <v>4327768.5179780629</v>
      </c>
      <c r="H116" s="475">
        <f>+F116*'24-Allocators'!$C$44</f>
        <v>8300894.8119464666</v>
      </c>
      <c r="I116" s="164" t="s">
        <v>1388</v>
      </c>
      <c r="J116" s="165"/>
      <c r="K116" s="165"/>
      <c r="L116" s="165"/>
      <c r="M116" s="165"/>
      <c r="N116" s="165"/>
      <c r="R116" s="131">
        <f t="shared" si="20"/>
        <v>601</v>
      </c>
    </row>
    <row r="117" spans="1:18">
      <c r="A117" s="131">
        <f t="shared" ref="A117" si="21">A116+1</f>
        <v>602</v>
      </c>
      <c r="B117" s="169" t="s">
        <v>372</v>
      </c>
      <c r="C117" s="169"/>
      <c r="D117" s="547">
        <f>AVERAGE(D115:D116)</f>
        <v>85280095.470000058</v>
      </c>
      <c r="E117" s="12"/>
      <c r="F117" s="547">
        <f>AVERAGE(F115:F116)</f>
        <v>11546543.900441717</v>
      </c>
      <c r="G117" s="547">
        <f t="shared" ref="G117:H117" si="22">AVERAGE(G115:G116)</f>
        <v>3956932.5650937222</v>
      </c>
      <c r="H117" s="547">
        <f t="shared" si="22"/>
        <v>7589611.3353479952</v>
      </c>
      <c r="I117" s="20" t="s">
        <v>1157</v>
      </c>
      <c r="J117" s="20"/>
      <c r="K117" s="20"/>
      <c r="L117" s="20"/>
      <c r="M117" s="20"/>
      <c r="N117" s="20"/>
      <c r="R117" s="131">
        <f t="shared" si="20"/>
        <v>602</v>
      </c>
    </row>
    <row r="118" spans="1:18">
      <c r="A118" s="131"/>
      <c r="B118" s="161"/>
      <c r="C118" s="161"/>
      <c r="D118" s="204"/>
      <c r="E118" s="204"/>
      <c r="F118" s="204"/>
      <c r="G118" s="20"/>
      <c r="H118" s="20"/>
      <c r="I118" s="20"/>
      <c r="J118" s="20"/>
      <c r="K118" s="20"/>
      <c r="L118" s="20"/>
      <c r="M118" s="20"/>
      <c r="N118" s="20"/>
      <c r="R118" s="131"/>
    </row>
    <row r="119" spans="1:18">
      <c r="A119" s="131"/>
      <c r="B119" s="161"/>
      <c r="C119" s="161"/>
      <c r="D119" s="204"/>
      <c r="E119" s="204"/>
      <c r="F119" s="204"/>
      <c r="G119" s="20"/>
      <c r="H119" s="20"/>
      <c r="I119" s="20"/>
      <c r="J119" s="20"/>
      <c r="K119" s="20"/>
      <c r="L119" s="20"/>
      <c r="M119" s="20"/>
      <c r="N119" s="20"/>
      <c r="R119" s="131"/>
    </row>
    <row r="120" spans="1:18">
      <c r="B120" s="205" t="s">
        <v>431</v>
      </c>
      <c r="C120" s="205"/>
      <c r="D120" s="59"/>
      <c r="E120" s="59"/>
      <c r="F120" s="59"/>
      <c r="G120" s="59"/>
      <c r="H120" s="59"/>
      <c r="I120" s="59"/>
      <c r="J120" s="59"/>
      <c r="K120" s="59"/>
      <c r="L120" s="59"/>
      <c r="M120" s="59"/>
      <c r="N120" s="59"/>
      <c r="O120" s="54"/>
      <c r="P120" s="54"/>
      <c r="Q120" s="54"/>
      <c r="R120" s="131"/>
    </row>
    <row r="121" spans="1:18">
      <c r="B121" s="150" t="s">
        <v>432</v>
      </c>
    </row>
    <row r="123" spans="1:18">
      <c r="A123" s="12"/>
      <c r="D123" s="122" t="s">
        <v>100</v>
      </c>
      <c r="E123" s="122" t="s">
        <v>101</v>
      </c>
      <c r="F123" s="122" t="s">
        <v>102</v>
      </c>
      <c r="G123" s="20"/>
      <c r="H123" s="20"/>
      <c r="I123" s="20"/>
      <c r="J123" s="20"/>
      <c r="K123" s="20"/>
      <c r="L123" s="20"/>
      <c r="M123" s="20"/>
      <c r="N123" s="20"/>
      <c r="R123" s="131"/>
    </row>
    <row r="124" spans="1:18" ht="29">
      <c r="B124" s="8"/>
      <c r="C124" s="8"/>
      <c r="D124" s="153" t="s">
        <v>385</v>
      </c>
      <c r="E124" s="153" t="s">
        <v>385</v>
      </c>
      <c r="F124" s="153" t="s">
        <v>385</v>
      </c>
      <c r="G124" s="20"/>
      <c r="H124" s="20"/>
      <c r="I124" s="20"/>
      <c r="J124" s="20"/>
      <c r="K124" s="20"/>
      <c r="L124" s="20"/>
      <c r="M124" s="20"/>
      <c r="N124" s="20"/>
      <c r="R124" s="131"/>
    </row>
    <row r="125" spans="1:18">
      <c r="B125" s="8"/>
      <c r="C125" s="8"/>
      <c r="D125" s="153"/>
      <c r="E125" s="153"/>
      <c r="F125" s="153"/>
      <c r="G125" s="20"/>
      <c r="H125" s="20"/>
      <c r="I125" s="20"/>
      <c r="J125" s="20"/>
      <c r="K125" s="20"/>
      <c r="L125" s="20"/>
      <c r="M125" s="20"/>
      <c r="N125" s="20"/>
      <c r="R125" s="131"/>
    </row>
    <row r="126" spans="1:18">
      <c r="A126" s="119" t="s">
        <v>124</v>
      </c>
      <c r="B126" s="119" t="s">
        <v>82</v>
      </c>
      <c r="C126" s="119" t="s">
        <v>111</v>
      </c>
      <c r="D126" s="122" t="s">
        <v>428</v>
      </c>
      <c r="E126" s="122" t="s">
        <v>370</v>
      </c>
      <c r="F126" s="122" t="s">
        <v>371</v>
      </c>
      <c r="G126" s="122" t="s">
        <v>54</v>
      </c>
      <c r="H126" s="20"/>
      <c r="I126" s="20"/>
      <c r="J126" s="20"/>
      <c r="K126" s="20"/>
      <c r="L126" s="20"/>
      <c r="M126" s="20"/>
      <c r="N126" s="20"/>
      <c r="R126" s="119" t="str">
        <f>A126</f>
        <v>Line</v>
      </c>
    </row>
    <row r="127" spans="1:18">
      <c r="A127" s="131">
        <v>700</v>
      </c>
      <c r="B127" s="150" t="s">
        <v>113</v>
      </c>
      <c r="C127" s="156">
        <f>'1-BaseTRR'!$F$2-1</f>
        <v>2021</v>
      </c>
      <c r="D127" s="474">
        <f t="shared" ref="D127:F128" si="23">+D87+F101+F115</f>
        <v>440871074.5618301</v>
      </c>
      <c r="E127" s="474">
        <f t="shared" si="23"/>
        <v>158465416.2587468</v>
      </c>
      <c r="F127" s="474">
        <f t="shared" si="23"/>
        <v>282405658.3030833</v>
      </c>
      <c r="G127" s="164" t="s">
        <v>1063</v>
      </c>
      <c r="H127" s="165"/>
      <c r="I127" s="165"/>
      <c r="J127" s="165"/>
      <c r="K127" s="165"/>
      <c r="L127" s="165"/>
      <c r="M127" s="165"/>
      <c r="N127" s="165"/>
      <c r="R127" s="131">
        <f t="shared" ref="R127:R129" si="24">A127</f>
        <v>700</v>
      </c>
    </row>
    <row r="128" spans="1:18">
      <c r="A128" s="131">
        <f>+A127+1</f>
        <v>701</v>
      </c>
      <c r="B128" s="159" t="s">
        <v>113</v>
      </c>
      <c r="C128" s="160">
        <f>'1-BaseTRR'!$F$2</f>
        <v>2022</v>
      </c>
      <c r="D128" s="475">
        <f t="shared" si="23"/>
        <v>524616275.48762077</v>
      </c>
      <c r="E128" s="475">
        <f t="shared" si="23"/>
        <v>182655892.50871676</v>
      </c>
      <c r="F128" s="475">
        <f t="shared" si="23"/>
        <v>341960382.97890395</v>
      </c>
      <c r="G128" s="164" t="s">
        <v>1064</v>
      </c>
      <c r="H128" s="20"/>
      <c r="I128" s="20"/>
      <c r="J128" s="20"/>
      <c r="K128" s="20"/>
      <c r="L128" s="20"/>
      <c r="M128" s="20"/>
      <c r="N128" s="20"/>
      <c r="R128" s="131">
        <f t="shared" si="24"/>
        <v>701</v>
      </c>
    </row>
    <row r="129" spans="1:18">
      <c r="A129" s="131">
        <f t="shared" ref="A129" si="25">A128+1</f>
        <v>702</v>
      </c>
      <c r="B129" s="169" t="s">
        <v>372</v>
      </c>
      <c r="C129" s="169"/>
      <c r="D129" s="547">
        <f>AVERAGE(D127:D128)</f>
        <v>482743675.02472544</v>
      </c>
      <c r="E129" s="547">
        <f t="shared" ref="E129:F129" si="26">AVERAGE(E127:E128)</f>
        <v>170560654.38373178</v>
      </c>
      <c r="F129" s="547">
        <f t="shared" si="26"/>
        <v>312183020.6409936</v>
      </c>
      <c r="G129" s="20" t="s">
        <v>1065</v>
      </c>
      <c r="H129" s="20"/>
      <c r="I129" s="20"/>
      <c r="J129" s="20"/>
      <c r="K129" s="20"/>
      <c r="L129" s="20"/>
      <c r="M129" s="20"/>
      <c r="N129" s="20"/>
      <c r="R129" s="131">
        <f t="shared" si="24"/>
        <v>702</v>
      </c>
    </row>
    <row r="130" spans="1:18">
      <c r="A130" s="131"/>
      <c r="B130" s="161"/>
      <c r="C130" s="161"/>
      <c r="D130" s="20"/>
      <c r="E130" s="20"/>
      <c r="F130" s="20"/>
      <c r="G130" s="20"/>
      <c r="H130" s="20"/>
      <c r="I130" s="20"/>
      <c r="J130" s="20"/>
      <c r="K130" s="20"/>
      <c r="L130" s="20"/>
      <c r="M130" s="20"/>
      <c r="N130" s="20"/>
    </row>
    <row r="131" spans="1:18">
      <c r="A131" s="131"/>
      <c r="B131" s="161"/>
      <c r="C131" s="161"/>
      <c r="D131" s="20"/>
      <c r="E131" s="20"/>
      <c r="F131" s="20"/>
      <c r="G131" s="20"/>
      <c r="H131" s="20"/>
      <c r="I131" s="20"/>
      <c r="J131" s="20"/>
      <c r="K131" s="20"/>
      <c r="L131" s="20"/>
      <c r="M131" s="20"/>
      <c r="N131" s="20"/>
    </row>
    <row r="132" spans="1:18" ht="15" customHeight="1">
      <c r="B132" s="16" t="s">
        <v>127</v>
      </c>
      <c r="C132" s="161"/>
      <c r="D132" s="20"/>
      <c r="E132" s="20"/>
      <c r="F132" s="20"/>
      <c r="G132" s="20"/>
      <c r="H132" s="20"/>
      <c r="I132" s="20"/>
      <c r="J132" s="20"/>
      <c r="K132" s="20"/>
      <c r="L132" s="20"/>
      <c r="M132" s="20"/>
      <c r="N132" s="20"/>
    </row>
    <row r="133" spans="1:18">
      <c r="A133" s="206"/>
      <c r="B133" s="818" t="s">
        <v>1882</v>
      </c>
      <c r="C133" s="818"/>
      <c r="D133" s="818"/>
      <c r="E133" s="818"/>
      <c r="F133" s="818"/>
      <c r="G133" s="818"/>
      <c r="H133" s="818"/>
      <c r="I133" s="818"/>
      <c r="J133" s="818"/>
      <c r="K133" s="818"/>
      <c r="L133" s="818"/>
      <c r="M133" s="818"/>
      <c r="N133" s="818"/>
      <c r="O133" s="818"/>
      <c r="P133" s="818"/>
      <c r="Q133" s="818"/>
    </row>
    <row r="134" spans="1:18">
      <c r="A134" s="131"/>
      <c r="B134" s="818" t="s">
        <v>1883</v>
      </c>
      <c r="C134" s="818"/>
      <c r="D134" s="818"/>
      <c r="E134" s="818"/>
      <c r="F134" s="818"/>
      <c r="G134" s="818"/>
      <c r="H134" s="818"/>
      <c r="I134" s="818"/>
      <c r="J134" s="818"/>
      <c r="K134" s="818"/>
      <c r="L134" s="818"/>
      <c r="M134" s="818"/>
      <c r="N134" s="818"/>
      <c r="O134" s="818"/>
      <c r="P134" s="818"/>
      <c r="Q134" s="818"/>
    </row>
    <row r="135" spans="1:18">
      <c r="A135" s="131"/>
      <c r="B135" s="818" t="s">
        <v>1884</v>
      </c>
      <c r="C135" s="818"/>
      <c r="D135" s="818"/>
      <c r="E135" s="818"/>
      <c r="F135" s="818"/>
      <c r="G135" s="818"/>
      <c r="H135" s="818"/>
      <c r="I135" s="818"/>
      <c r="J135" s="818"/>
      <c r="K135" s="818"/>
      <c r="L135" s="818"/>
      <c r="M135" s="818"/>
      <c r="N135" s="818"/>
      <c r="O135" s="818"/>
      <c r="P135" s="818"/>
      <c r="Q135" s="818"/>
    </row>
    <row r="136" spans="1:18">
      <c r="A136" s="131"/>
      <c r="B136" s="818" t="s">
        <v>1167</v>
      </c>
      <c r="C136" s="818"/>
      <c r="D136" s="818"/>
      <c r="E136" s="818"/>
      <c r="F136" s="818"/>
      <c r="G136" s="818"/>
      <c r="H136" s="818"/>
      <c r="I136" s="818"/>
      <c r="J136" s="818"/>
      <c r="K136" s="818"/>
      <c r="L136" s="818"/>
      <c r="M136" s="818"/>
      <c r="N136" s="818"/>
      <c r="O136" s="818"/>
      <c r="P136" s="818"/>
      <c r="Q136" s="818"/>
    </row>
    <row r="137" spans="1:18">
      <c r="A137" s="131"/>
      <c r="B137" s="161"/>
      <c r="C137" s="161"/>
      <c r="D137" s="207"/>
      <c r="E137" s="207"/>
      <c r="F137" s="207"/>
      <c r="G137" s="207"/>
      <c r="H137" s="207"/>
      <c r="I137" s="207"/>
      <c r="J137" s="207"/>
      <c r="K137" s="207"/>
      <c r="L137" s="207"/>
      <c r="M137" s="207"/>
      <c r="N137" s="208"/>
    </row>
    <row r="138" spans="1:18">
      <c r="A138" s="131"/>
      <c r="B138" s="161"/>
      <c r="C138" s="161"/>
      <c r="D138" s="207"/>
      <c r="E138" s="207"/>
      <c r="F138" s="207"/>
      <c r="G138" s="207"/>
      <c r="H138" s="207"/>
      <c r="I138" s="207"/>
      <c r="J138" s="207"/>
      <c r="K138" s="207"/>
      <c r="L138" s="207"/>
      <c r="M138" s="207"/>
      <c r="N138" s="208"/>
    </row>
    <row r="139" spans="1:18">
      <c r="A139" s="131"/>
      <c r="B139" s="161"/>
      <c r="C139" s="161"/>
      <c r="D139" s="207"/>
      <c r="E139" s="207"/>
      <c r="F139" s="207"/>
      <c r="G139" s="207"/>
      <c r="H139" s="207"/>
      <c r="I139" s="207"/>
      <c r="J139" s="207"/>
      <c r="K139" s="207"/>
      <c r="L139" s="207"/>
      <c r="M139" s="207"/>
      <c r="N139" s="208"/>
    </row>
    <row r="140" spans="1:18">
      <c r="A140" s="131"/>
      <c r="B140" s="161"/>
      <c r="C140" s="161"/>
      <c r="D140" s="207"/>
      <c r="E140" s="207"/>
      <c r="F140" s="207"/>
      <c r="G140" s="207"/>
      <c r="H140" s="207"/>
      <c r="I140" s="207"/>
      <c r="J140" s="207"/>
      <c r="K140" s="207"/>
      <c r="L140" s="207"/>
      <c r="M140" s="207"/>
      <c r="N140" s="208"/>
    </row>
    <row r="141" spans="1:18">
      <c r="A141" s="131"/>
      <c r="B141" s="161"/>
      <c r="C141" s="161"/>
      <c r="D141" s="207"/>
      <c r="E141" s="207"/>
      <c r="F141" s="207"/>
      <c r="G141" s="207"/>
      <c r="H141" s="207"/>
      <c r="I141" s="207"/>
      <c r="J141" s="207"/>
      <c r="K141" s="207"/>
      <c r="L141" s="207"/>
      <c r="M141" s="207"/>
      <c r="N141" s="208"/>
    </row>
    <row r="142" spans="1:18">
      <c r="A142" s="131"/>
      <c r="B142" s="161"/>
      <c r="C142" s="161"/>
      <c r="D142" s="207"/>
      <c r="E142" s="207"/>
      <c r="F142" s="207"/>
      <c r="G142" s="207"/>
      <c r="H142" s="207"/>
      <c r="I142" s="207"/>
      <c r="J142" s="207"/>
      <c r="K142" s="207"/>
      <c r="L142" s="207"/>
      <c r="M142" s="207"/>
      <c r="N142" s="208"/>
    </row>
    <row r="143" spans="1:18">
      <c r="A143" s="131"/>
      <c r="B143" s="161"/>
      <c r="C143" s="161"/>
      <c r="D143" s="207"/>
      <c r="E143" s="207"/>
      <c r="F143" s="207"/>
      <c r="G143" s="207"/>
      <c r="H143" s="207"/>
      <c r="I143" s="207"/>
      <c r="J143" s="207"/>
      <c r="K143" s="207"/>
      <c r="L143" s="207"/>
      <c r="M143" s="207"/>
      <c r="N143" s="208"/>
    </row>
    <row r="144" spans="1:18">
      <c r="A144" s="131"/>
      <c r="B144" s="161"/>
      <c r="C144" s="161"/>
      <c r="D144" s="207"/>
      <c r="E144" s="207"/>
      <c r="F144" s="207"/>
      <c r="G144" s="207"/>
      <c r="H144" s="207"/>
      <c r="I144" s="207"/>
      <c r="J144" s="207"/>
      <c r="K144" s="207"/>
      <c r="L144" s="207"/>
      <c r="M144" s="207"/>
      <c r="N144" s="208"/>
    </row>
    <row r="145" spans="1:18">
      <c r="A145" s="131"/>
      <c r="B145" s="161"/>
      <c r="C145" s="161"/>
      <c r="D145" s="207"/>
      <c r="E145" s="207"/>
      <c r="F145" s="207"/>
      <c r="G145" s="207"/>
      <c r="H145" s="207"/>
      <c r="I145" s="207"/>
      <c r="J145" s="207"/>
      <c r="K145" s="207"/>
      <c r="L145" s="207"/>
      <c r="M145" s="207"/>
      <c r="N145" s="208"/>
    </row>
    <row r="146" spans="1:18">
      <c r="A146" s="131"/>
      <c r="B146" s="161"/>
      <c r="C146" s="161"/>
      <c r="D146" s="207"/>
      <c r="E146" s="207"/>
      <c r="F146" s="207"/>
      <c r="G146" s="207"/>
      <c r="H146" s="207"/>
      <c r="I146" s="207"/>
      <c r="J146" s="207"/>
      <c r="K146" s="207"/>
      <c r="L146" s="207"/>
      <c r="M146" s="207"/>
      <c r="N146" s="208"/>
    </row>
    <row r="147" spans="1:18">
      <c r="A147" s="131"/>
      <c r="B147" s="161"/>
      <c r="C147" s="161"/>
      <c r="D147" s="20"/>
      <c r="E147" s="20"/>
      <c r="F147" s="20"/>
      <c r="G147" s="20"/>
      <c r="H147" s="20"/>
      <c r="I147" s="20"/>
      <c r="J147" s="20"/>
      <c r="K147" s="20"/>
      <c r="L147" s="20"/>
      <c r="M147" s="20"/>
      <c r="N147" s="20"/>
    </row>
    <row r="148" spans="1:18">
      <c r="B148" s="142"/>
      <c r="C148" s="142"/>
    </row>
    <row r="150" spans="1:18">
      <c r="A150" s="12"/>
      <c r="B150" s="122"/>
      <c r="C150" s="122"/>
      <c r="D150" s="122"/>
      <c r="E150" s="122"/>
      <c r="F150" s="122"/>
      <c r="G150" s="122"/>
      <c r="H150" s="122"/>
      <c r="I150" s="122"/>
      <c r="J150" s="122"/>
      <c r="K150" s="122"/>
      <c r="L150" s="122"/>
      <c r="M150" s="122"/>
      <c r="N150" s="122"/>
    </row>
    <row r="151" spans="1:18">
      <c r="B151" s="30"/>
      <c r="C151" s="30"/>
      <c r="N151" s="30"/>
    </row>
    <row r="152" spans="1:18">
      <c r="A152" s="206"/>
      <c r="B152" s="119"/>
      <c r="C152" s="119"/>
      <c r="D152" s="122"/>
      <c r="E152" s="122"/>
      <c r="F152" s="122"/>
      <c r="G152" s="122"/>
      <c r="H152" s="122"/>
      <c r="I152" s="122"/>
      <c r="J152" s="122"/>
      <c r="K152" s="122"/>
      <c r="L152" s="122"/>
      <c r="M152" s="122"/>
      <c r="N152" s="119"/>
    </row>
    <row r="153" spans="1:18">
      <c r="A153" s="131"/>
      <c r="B153" s="161"/>
      <c r="C153" s="161"/>
      <c r="D153" s="209"/>
      <c r="E153" s="209"/>
      <c r="F153" s="209"/>
      <c r="G153" s="209"/>
      <c r="H153" s="209"/>
      <c r="I153" s="209"/>
      <c r="J153" s="209"/>
      <c r="K153" s="209"/>
      <c r="L153" s="209"/>
      <c r="M153" s="209"/>
      <c r="N153" s="209"/>
      <c r="R153" s="20"/>
    </row>
    <row r="154" spans="1:18">
      <c r="A154" s="131"/>
      <c r="B154" s="161"/>
      <c r="C154" s="161"/>
      <c r="D154" s="209"/>
      <c r="E154" s="209"/>
      <c r="F154" s="209"/>
      <c r="G154" s="209"/>
      <c r="H154" s="209"/>
      <c r="I154" s="209"/>
      <c r="J154" s="209"/>
      <c r="K154" s="209"/>
      <c r="L154" s="209"/>
      <c r="M154" s="209"/>
      <c r="N154" s="209"/>
      <c r="R154" s="20"/>
    </row>
    <row r="155" spans="1:18">
      <c r="A155" s="131"/>
      <c r="B155" s="161"/>
      <c r="C155" s="161"/>
      <c r="D155" s="209"/>
      <c r="E155" s="209"/>
      <c r="F155" s="209"/>
      <c r="G155" s="209"/>
      <c r="H155" s="209"/>
      <c r="I155" s="209"/>
      <c r="J155" s="209"/>
      <c r="K155" s="209"/>
      <c r="L155" s="209"/>
      <c r="M155" s="209"/>
      <c r="N155" s="209"/>
      <c r="R155" s="20"/>
    </row>
    <row r="156" spans="1:18">
      <c r="A156" s="131"/>
      <c r="B156" s="161"/>
      <c r="C156" s="161"/>
      <c r="D156" s="209"/>
      <c r="E156" s="209"/>
      <c r="F156" s="209"/>
      <c r="G156" s="209"/>
      <c r="H156" s="209"/>
      <c r="I156" s="209"/>
      <c r="J156" s="209"/>
      <c r="K156" s="209"/>
      <c r="L156" s="209"/>
      <c r="M156" s="209"/>
      <c r="N156" s="209"/>
      <c r="R156" s="20"/>
    </row>
    <row r="157" spans="1:18">
      <c r="A157" s="131"/>
      <c r="B157" s="161"/>
      <c r="C157" s="161"/>
      <c r="D157" s="209"/>
      <c r="E157" s="209"/>
      <c r="F157" s="209"/>
      <c r="G157" s="209"/>
      <c r="H157" s="209"/>
      <c r="I157" s="209"/>
      <c r="J157" s="209"/>
      <c r="K157" s="209"/>
      <c r="L157" s="209"/>
      <c r="M157" s="209"/>
      <c r="N157" s="209"/>
      <c r="R157" s="20"/>
    </row>
    <row r="158" spans="1:18">
      <c r="A158" s="131"/>
      <c r="B158" s="161"/>
      <c r="C158" s="161"/>
      <c r="D158" s="209"/>
      <c r="E158" s="209"/>
      <c r="F158" s="209"/>
      <c r="G158" s="209"/>
      <c r="H158" s="209"/>
      <c r="I158" s="209"/>
      <c r="J158" s="209"/>
      <c r="K158" s="209"/>
      <c r="L158" s="209"/>
      <c r="M158" s="209"/>
      <c r="N158" s="209"/>
      <c r="R158" s="20"/>
    </row>
    <row r="159" spans="1:18">
      <c r="A159" s="131"/>
      <c r="B159" s="161"/>
      <c r="C159" s="161"/>
      <c r="D159" s="209"/>
      <c r="E159" s="209"/>
      <c r="F159" s="209"/>
      <c r="G159" s="209"/>
      <c r="H159" s="209"/>
      <c r="I159" s="209"/>
      <c r="J159" s="209"/>
      <c r="K159" s="209"/>
      <c r="L159" s="209"/>
      <c r="M159" s="209"/>
      <c r="N159" s="209"/>
      <c r="R159" s="20"/>
    </row>
    <row r="160" spans="1:18">
      <c r="A160" s="131"/>
      <c r="B160" s="161"/>
      <c r="C160" s="161"/>
      <c r="D160" s="209"/>
      <c r="E160" s="209"/>
      <c r="F160" s="209"/>
      <c r="G160" s="209"/>
      <c r="H160" s="209"/>
      <c r="I160" s="209"/>
      <c r="J160" s="209"/>
      <c r="K160" s="209"/>
      <c r="L160" s="209"/>
      <c r="M160" s="209"/>
      <c r="N160" s="209"/>
      <c r="R160" s="20"/>
    </row>
    <row r="161" spans="1:18">
      <c r="A161" s="131"/>
      <c r="B161" s="161"/>
      <c r="C161" s="161"/>
      <c r="D161" s="209"/>
      <c r="E161" s="209"/>
      <c r="F161" s="209"/>
      <c r="G161" s="209"/>
      <c r="H161" s="209"/>
      <c r="I161" s="209"/>
      <c r="J161" s="209"/>
      <c r="K161" s="209"/>
      <c r="L161" s="209"/>
      <c r="M161" s="209"/>
      <c r="N161" s="209"/>
      <c r="R161" s="20"/>
    </row>
    <row r="162" spans="1:18">
      <c r="A162" s="131"/>
      <c r="B162" s="161"/>
      <c r="C162" s="161"/>
      <c r="D162" s="209"/>
      <c r="E162" s="209"/>
      <c r="F162" s="209"/>
      <c r="G162" s="209"/>
      <c r="H162" s="209"/>
      <c r="I162" s="209"/>
      <c r="J162" s="209"/>
      <c r="K162" s="209"/>
      <c r="L162" s="209"/>
      <c r="M162" s="209"/>
      <c r="N162" s="209"/>
      <c r="R162" s="20"/>
    </row>
    <row r="163" spans="1:18">
      <c r="A163" s="131"/>
      <c r="B163" s="161"/>
      <c r="C163" s="161"/>
      <c r="D163" s="209"/>
      <c r="E163" s="209"/>
      <c r="F163" s="209"/>
      <c r="G163" s="209"/>
      <c r="H163" s="209"/>
      <c r="I163" s="209"/>
      <c r="J163" s="209"/>
      <c r="K163" s="209"/>
      <c r="L163" s="209"/>
      <c r="M163" s="209"/>
      <c r="N163" s="209"/>
      <c r="R163" s="20"/>
    </row>
    <row r="164" spans="1:18">
      <c r="A164" s="131"/>
      <c r="B164" s="161"/>
      <c r="C164" s="161"/>
      <c r="D164" s="210"/>
      <c r="E164" s="210"/>
      <c r="F164" s="210"/>
      <c r="G164" s="210"/>
      <c r="H164" s="210"/>
      <c r="I164" s="210"/>
      <c r="J164" s="210"/>
      <c r="K164" s="210"/>
      <c r="L164" s="210"/>
      <c r="M164" s="210"/>
      <c r="N164" s="210"/>
      <c r="R164" s="20"/>
    </row>
    <row r="165" spans="1:18">
      <c r="A165" s="131"/>
      <c r="B165" s="161"/>
      <c r="C165" s="161"/>
      <c r="D165" s="209"/>
      <c r="E165" s="209"/>
      <c r="F165" s="209"/>
      <c r="G165" s="209"/>
      <c r="H165" s="209"/>
      <c r="I165" s="209"/>
      <c r="J165" s="209"/>
      <c r="K165" s="209"/>
      <c r="L165" s="209"/>
      <c r="M165" s="209"/>
      <c r="N165" s="209"/>
      <c r="R165" s="20"/>
    </row>
    <row r="166" spans="1:18">
      <c r="A166" s="131"/>
      <c r="B166" s="161"/>
      <c r="C166" s="161"/>
      <c r="D166" s="208"/>
      <c r="E166" s="208"/>
      <c r="F166" s="208"/>
      <c r="G166" s="208"/>
      <c r="H166" s="208"/>
      <c r="I166" s="208"/>
      <c r="J166" s="208"/>
      <c r="K166" s="208"/>
      <c r="L166" s="208"/>
      <c r="M166" s="208"/>
      <c r="N166" s="208"/>
    </row>
    <row r="167" spans="1:18">
      <c r="B167" s="124"/>
      <c r="C167" s="124"/>
    </row>
    <row r="169" spans="1:18">
      <c r="A169" s="12"/>
      <c r="B169" s="122"/>
      <c r="C169" s="122"/>
      <c r="D169" s="122"/>
      <c r="E169" s="122"/>
      <c r="F169" s="122"/>
      <c r="G169" s="122"/>
      <c r="H169" s="122"/>
      <c r="I169" s="122"/>
      <c r="J169" s="122"/>
      <c r="K169" s="122"/>
      <c r="L169" s="122"/>
      <c r="M169" s="122"/>
      <c r="N169" s="122"/>
    </row>
    <row r="170" spans="1:18">
      <c r="B170" s="30"/>
      <c r="C170" s="30"/>
      <c r="N170" s="30"/>
    </row>
    <row r="171" spans="1:18">
      <c r="A171" s="206"/>
      <c r="B171" s="119"/>
      <c r="C171" s="119"/>
      <c r="D171" s="122"/>
      <c r="E171" s="122"/>
      <c r="F171" s="122"/>
      <c r="G171" s="122"/>
      <c r="H171" s="122"/>
      <c r="I171" s="122"/>
      <c r="J171" s="122"/>
      <c r="K171" s="122"/>
      <c r="L171" s="122"/>
      <c r="M171" s="122"/>
      <c r="N171" s="119"/>
    </row>
    <row r="172" spans="1:18">
      <c r="A172" s="131"/>
      <c r="B172" s="161"/>
      <c r="C172" s="161"/>
      <c r="D172" s="211"/>
      <c r="E172" s="211"/>
      <c r="F172" s="211"/>
      <c r="G172" s="211"/>
      <c r="H172" s="211"/>
      <c r="I172" s="211"/>
      <c r="J172" s="211"/>
      <c r="K172" s="211"/>
      <c r="L172" s="211"/>
      <c r="M172" s="211"/>
      <c r="N172" s="211"/>
    </row>
    <row r="173" spans="1:18">
      <c r="A173" s="131"/>
      <c r="B173" s="161"/>
      <c r="C173" s="161"/>
      <c r="D173" s="211"/>
      <c r="E173" s="211"/>
      <c r="F173" s="211"/>
      <c r="G173" s="211"/>
      <c r="H173" s="211"/>
      <c r="I173" s="211"/>
      <c r="J173" s="211"/>
      <c r="K173" s="211"/>
      <c r="L173" s="211"/>
      <c r="M173" s="211"/>
      <c r="N173" s="211"/>
    </row>
    <row r="174" spans="1:18">
      <c r="A174" s="131"/>
      <c r="B174" s="161"/>
      <c r="C174" s="161"/>
      <c r="D174" s="211"/>
      <c r="E174" s="211"/>
      <c r="F174" s="211"/>
      <c r="G174" s="211"/>
      <c r="H174" s="211"/>
      <c r="I174" s="211"/>
      <c r="J174" s="211"/>
      <c r="K174" s="211"/>
      <c r="L174" s="211"/>
      <c r="M174" s="211"/>
      <c r="N174" s="211"/>
    </row>
    <row r="175" spans="1:18">
      <c r="A175" s="131"/>
      <c r="B175" s="161"/>
      <c r="C175" s="161"/>
      <c r="D175" s="211"/>
      <c r="E175" s="211"/>
      <c r="F175" s="211"/>
      <c r="G175" s="211"/>
      <c r="H175" s="211"/>
      <c r="I175" s="211"/>
      <c r="J175" s="211"/>
      <c r="K175" s="211"/>
      <c r="L175" s="211"/>
      <c r="M175" s="211"/>
      <c r="N175" s="211"/>
    </row>
    <row r="176" spans="1:18">
      <c r="A176" s="131"/>
      <c r="B176" s="161"/>
      <c r="C176" s="161"/>
      <c r="D176" s="211"/>
      <c r="E176" s="211"/>
      <c r="F176" s="211"/>
      <c r="G176" s="211"/>
      <c r="H176" s="211"/>
      <c r="I176" s="211"/>
      <c r="J176" s="211"/>
      <c r="K176" s="211"/>
      <c r="L176" s="211"/>
      <c r="M176" s="211"/>
      <c r="N176" s="211"/>
    </row>
    <row r="177" spans="1:19">
      <c r="A177" s="131"/>
      <c r="B177" s="161"/>
      <c r="C177" s="161"/>
      <c r="D177" s="211"/>
      <c r="E177" s="211"/>
      <c r="F177" s="211"/>
      <c r="G177" s="211"/>
      <c r="H177" s="211"/>
      <c r="I177" s="211"/>
      <c r="J177" s="211"/>
      <c r="K177" s="211"/>
      <c r="L177" s="211"/>
      <c r="M177" s="211"/>
      <c r="N177" s="211"/>
    </row>
    <row r="178" spans="1:19">
      <c r="A178" s="131"/>
      <c r="B178" s="161"/>
      <c r="C178" s="161"/>
      <c r="D178" s="211"/>
      <c r="E178" s="211"/>
      <c r="F178" s="211"/>
      <c r="G178" s="211"/>
      <c r="H178" s="211"/>
      <c r="I178" s="211"/>
      <c r="J178" s="211"/>
      <c r="K178" s="211"/>
      <c r="L178" s="211"/>
      <c r="M178" s="211"/>
      <c r="N178" s="211"/>
    </row>
    <row r="179" spans="1:19">
      <c r="A179" s="131"/>
      <c r="B179" s="161"/>
      <c r="C179" s="161"/>
      <c r="D179" s="211"/>
      <c r="E179" s="211"/>
      <c r="F179" s="211"/>
      <c r="G179" s="211"/>
      <c r="H179" s="211"/>
      <c r="I179" s="211"/>
      <c r="J179" s="211"/>
      <c r="K179" s="211"/>
      <c r="L179" s="211"/>
      <c r="M179" s="211"/>
      <c r="N179" s="211"/>
    </row>
    <row r="180" spans="1:19">
      <c r="A180" s="131"/>
      <c r="B180" s="161"/>
      <c r="C180" s="161"/>
      <c r="D180" s="211"/>
      <c r="E180" s="211"/>
      <c r="F180" s="211"/>
      <c r="G180" s="211"/>
      <c r="H180" s="211"/>
      <c r="I180" s="211"/>
      <c r="J180" s="211"/>
      <c r="K180" s="211"/>
      <c r="L180" s="211"/>
      <c r="M180" s="211"/>
      <c r="N180" s="211"/>
    </row>
    <row r="181" spans="1:19">
      <c r="A181" s="131"/>
      <c r="B181" s="161"/>
      <c r="C181" s="161"/>
      <c r="D181" s="211"/>
      <c r="E181" s="211"/>
      <c r="F181" s="211"/>
      <c r="G181" s="211"/>
      <c r="H181" s="211"/>
      <c r="I181" s="211"/>
      <c r="J181" s="211"/>
      <c r="K181" s="211"/>
      <c r="L181" s="211"/>
      <c r="M181" s="211"/>
      <c r="N181" s="211"/>
    </row>
    <row r="182" spans="1:19" s="17" customFormat="1">
      <c r="A182" s="131"/>
      <c r="B182" s="161"/>
      <c r="C182" s="161"/>
      <c r="D182" s="211"/>
      <c r="E182" s="211"/>
      <c r="F182" s="211"/>
      <c r="G182" s="211"/>
      <c r="H182" s="211"/>
      <c r="I182" s="211"/>
      <c r="J182" s="211"/>
      <c r="K182" s="211"/>
      <c r="L182" s="211"/>
      <c r="M182" s="211"/>
      <c r="N182" s="211"/>
      <c r="O182"/>
      <c r="P182"/>
      <c r="Q182"/>
      <c r="R182"/>
      <c r="S182"/>
    </row>
    <row r="183" spans="1:19" s="17" customFormat="1">
      <c r="A183" s="131"/>
      <c r="B183" s="161"/>
      <c r="C183" s="161"/>
      <c r="D183" s="212"/>
      <c r="E183" s="212"/>
      <c r="F183" s="212"/>
      <c r="G183" s="212"/>
      <c r="H183" s="212"/>
      <c r="I183" s="212"/>
      <c r="J183" s="212"/>
      <c r="K183" s="212"/>
      <c r="L183" s="212"/>
      <c r="M183" s="212"/>
      <c r="N183" s="212"/>
      <c r="O183"/>
      <c r="P183"/>
      <c r="Q183"/>
      <c r="R183"/>
      <c r="S183"/>
    </row>
    <row r="184" spans="1:19" s="17" customFormat="1">
      <c r="A184" s="131"/>
      <c r="B184" s="161"/>
      <c r="C184" s="161"/>
      <c r="D184" s="211"/>
      <c r="E184" s="211"/>
      <c r="F184" s="211"/>
      <c r="G184" s="211"/>
      <c r="H184" s="211"/>
      <c r="I184" s="211"/>
      <c r="J184" s="211"/>
      <c r="K184" s="211"/>
      <c r="L184" s="211"/>
      <c r="M184" s="211"/>
      <c r="N184" s="211"/>
      <c r="O184"/>
      <c r="P184"/>
      <c r="Q184"/>
      <c r="R184"/>
    </row>
    <row r="185" spans="1:19" s="17" customFormat="1">
      <c r="A185" s="131"/>
      <c r="B185" s="161"/>
      <c r="C185" s="161"/>
      <c r="D185" s="208"/>
      <c r="E185" s="208"/>
      <c r="F185" s="208"/>
      <c r="G185" s="208"/>
      <c r="H185" s="208"/>
      <c r="I185" s="208"/>
      <c r="J185" s="208"/>
      <c r="K185" s="208"/>
      <c r="L185" s="208"/>
      <c r="M185" s="208"/>
      <c r="N185" s="208"/>
      <c r="O185"/>
      <c r="P185"/>
      <c r="Q185"/>
      <c r="R185"/>
    </row>
    <row r="186" spans="1:19" s="17" customFormat="1">
      <c r="B186" s="142"/>
      <c r="C186" s="142"/>
      <c r="N186" s="208"/>
    </row>
    <row r="187" spans="1:19" s="17" customFormat="1">
      <c r="N187" s="208"/>
    </row>
    <row r="188" spans="1:19" s="17" customFormat="1">
      <c r="B188" s="131"/>
      <c r="C188" s="131"/>
      <c r="D188" s="123"/>
      <c r="E188" s="123"/>
      <c r="F188" s="123"/>
      <c r="G188" s="123"/>
      <c r="H188" s="123"/>
      <c r="I188" s="123"/>
      <c r="J188" s="123"/>
      <c r="K188" s="123"/>
      <c r="L188" s="123"/>
      <c r="M188" s="123"/>
      <c r="N188" s="208"/>
    </row>
    <row r="189" spans="1:19" s="17" customFormat="1">
      <c r="A189" s="131"/>
      <c r="B189" s="161"/>
      <c r="C189" s="161"/>
      <c r="D189" s="213"/>
      <c r="E189" s="213"/>
      <c r="F189" s="213"/>
      <c r="G189" s="213"/>
      <c r="H189" s="213"/>
      <c r="I189" s="213"/>
      <c r="J189" s="213"/>
      <c r="K189" s="213"/>
      <c r="L189" s="213"/>
      <c r="M189" s="213"/>
      <c r="N189" s="208"/>
    </row>
    <row r="190" spans="1:19" s="17" customFormat="1">
      <c r="A190" s="131"/>
      <c r="B190" s="161"/>
      <c r="C190" s="161"/>
      <c r="D190" s="213"/>
      <c r="E190" s="213"/>
      <c r="F190" s="213"/>
      <c r="G190" s="213"/>
      <c r="H190" s="213"/>
      <c r="I190" s="213"/>
      <c r="J190" s="213"/>
      <c r="K190" s="213"/>
      <c r="L190" s="213"/>
      <c r="M190" s="213"/>
      <c r="N190" s="208"/>
    </row>
    <row r="191" spans="1:19" s="17" customFormat="1">
      <c r="A191" s="131"/>
      <c r="B191" s="161"/>
      <c r="C191" s="161"/>
      <c r="D191" s="213"/>
      <c r="E191" s="213"/>
      <c r="F191" s="213"/>
      <c r="G191" s="213"/>
      <c r="H191" s="213"/>
      <c r="I191" s="213"/>
      <c r="J191" s="213"/>
      <c r="K191" s="213"/>
      <c r="L191" s="213"/>
      <c r="M191" s="213"/>
      <c r="N191" s="208"/>
    </row>
    <row r="192" spans="1:19" s="17" customFormat="1">
      <c r="A192" s="131"/>
      <c r="B192" s="161"/>
      <c r="C192" s="161"/>
      <c r="D192" s="213"/>
      <c r="E192" s="213"/>
      <c r="F192" s="213"/>
      <c r="G192" s="213"/>
      <c r="H192" s="213"/>
      <c r="I192" s="213"/>
      <c r="J192" s="213"/>
      <c r="K192" s="213"/>
      <c r="L192" s="213"/>
      <c r="M192" s="213"/>
      <c r="N192" s="208"/>
    </row>
    <row r="193" spans="1:19" s="17" customFormat="1">
      <c r="A193" s="131"/>
      <c r="B193" s="161"/>
      <c r="C193" s="161"/>
      <c r="D193" s="213"/>
      <c r="E193" s="213"/>
      <c r="F193" s="213"/>
      <c r="G193" s="213"/>
      <c r="H193" s="213"/>
      <c r="I193" s="213"/>
      <c r="J193" s="213"/>
      <c r="K193" s="213"/>
      <c r="L193" s="213"/>
      <c r="M193" s="213"/>
      <c r="N193" s="208"/>
    </row>
    <row r="194" spans="1:19" s="17" customFormat="1">
      <c r="A194" s="131"/>
      <c r="B194" s="161"/>
      <c r="C194" s="161"/>
      <c r="D194" s="213"/>
      <c r="E194" s="213"/>
      <c r="F194" s="213"/>
      <c r="G194" s="213"/>
      <c r="H194" s="213"/>
      <c r="I194" s="213"/>
      <c r="J194" s="213"/>
      <c r="K194" s="213"/>
      <c r="L194" s="213"/>
      <c r="M194" s="213"/>
      <c r="N194" s="208"/>
    </row>
    <row r="195" spans="1:19" s="17" customFormat="1">
      <c r="A195" s="131"/>
      <c r="B195" s="161"/>
      <c r="C195" s="161"/>
      <c r="D195" s="213"/>
      <c r="E195" s="213"/>
      <c r="F195" s="213"/>
      <c r="G195" s="213"/>
      <c r="H195" s="213"/>
      <c r="I195" s="213"/>
      <c r="J195" s="213"/>
      <c r="K195" s="213"/>
      <c r="L195" s="213"/>
      <c r="M195" s="213"/>
      <c r="N195" s="208"/>
    </row>
    <row r="196" spans="1:19" s="17" customFormat="1">
      <c r="A196" s="131"/>
      <c r="B196" s="161"/>
      <c r="C196" s="161"/>
      <c r="D196" s="213"/>
      <c r="E196" s="213"/>
      <c r="F196" s="213"/>
      <c r="G196" s="213"/>
      <c r="H196" s="213"/>
      <c r="I196" s="213"/>
      <c r="J196" s="213"/>
      <c r="K196" s="213"/>
      <c r="L196" s="213"/>
      <c r="M196" s="213"/>
      <c r="N196" s="208"/>
    </row>
    <row r="197" spans="1:19">
      <c r="A197" s="131"/>
      <c r="B197" s="161"/>
      <c r="C197" s="161"/>
      <c r="D197" s="213"/>
      <c r="E197" s="213"/>
      <c r="F197" s="213"/>
      <c r="G197" s="213"/>
      <c r="H197" s="213"/>
      <c r="I197" s="213"/>
      <c r="J197" s="213"/>
      <c r="K197" s="213"/>
      <c r="L197" s="213"/>
      <c r="M197" s="213"/>
      <c r="N197" s="208"/>
      <c r="O197" s="17"/>
      <c r="P197" s="17"/>
      <c r="Q197" s="17"/>
      <c r="R197" s="17"/>
      <c r="S197" s="17"/>
    </row>
    <row r="198" spans="1:19">
      <c r="A198" s="131"/>
      <c r="B198" s="161"/>
      <c r="C198" s="161"/>
      <c r="D198" s="213"/>
      <c r="E198" s="213"/>
      <c r="F198" s="213"/>
      <c r="G198" s="213"/>
      <c r="H198" s="213"/>
      <c r="I198" s="213"/>
      <c r="J198" s="213"/>
      <c r="K198" s="213"/>
      <c r="L198" s="213"/>
      <c r="M198" s="213"/>
      <c r="N198" s="208"/>
      <c r="O198" s="17"/>
      <c r="P198" s="17"/>
      <c r="Q198" s="17"/>
      <c r="R198" s="17"/>
      <c r="S198" s="17"/>
    </row>
    <row r="199" spans="1:19">
      <c r="A199" s="131"/>
      <c r="B199" s="161"/>
      <c r="C199" s="161"/>
      <c r="D199" s="213"/>
      <c r="E199" s="213"/>
      <c r="F199" s="213"/>
      <c r="G199" s="213"/>
      <c r="H199" s="213"/>
      <c r="I199" s="213"/>
      <c r="J199" s="213"/>
      <c r="K199" s="213"/>
      <c r="L199" s="213"/>
      <c r="M199" s="213"/>
      <c r="N199" s="208"/>
      <c r="O199" s="17"/>
      <c r="P199" s="17"/>
      <c r="Q199" s="17"/>
      <c r="R199" s="17"/>
    </row>
    <row r="200" spans="1:19">
      <c r="A200" s="131"/>
      <c r="B200" s="161"/>
      <c r="C200" s="161"/>
      <c r="D200" s="213"/>
      <c r="E200" s="213"/>
      <c r="F200" s="213"/>
      <c r="G200" s="213"/>
      <c r="H200" s="213"/>
      <c r="I200" s="213"/>
      <c r="J200" s="213"/>
      <c r="K200" s="213"/>
      <c r="L200" s="213"/>
      <c r="M200" s="213"/>
      <c r="N200" s="208"/>
      <c r="O200" s="17"/>
      <c r="P200" s="17"/>
      <c r="Q200" s="17"/>
      <c r="R200" s="17"/>
    </row>
    <row r="202" spans="1:19">
      <c r="B202" s="142"/>
      <c r="C202" s="142"/>
    </row>
    <row r="203" spans="1:19">
      <c r="B203" s="18"/>
      <c r="C203" s="18"/>
    </row>
    <row r="204" spans="1:19">
      <c r="B204" s="35"/>
      <c r="C204" s="35"/>
      <c r="D204" s="122"/>
      <c r="E204" s="122"/>
      <c r="F204" s="122"/>
      <c r="G204" s="122"/>
      <c r="H204" s="122"/>
      <c r="I204" s="122"/>
      <c r="J204" s="122"/>
      <c r="K204" s="122"/>
      <c r="L204" s="122"/>
      <c r="M204" s="122"/>
      <c r="N204" s="119"/>
    </row>
    <row r="205" spans="1:19">
      <c r="A205" s="131"/>
      <c r="B205" s="35"/>
      <c r="C205" s="35"/>
      <c r="D205" s="20"/>
      <c r="E205" s="20"/>
      <c r="F205" s="20"/>
      <c r="G205" s="20"/>
      <c r="H205" s="20"/>
      <c r="I205" s="20"/>
      <c r="J205" s="20"/>
      <c r="K205" s="20"/>
      <c r="L205" s="20"/>
      <c r="M205" s="20"/>
      <c r="N205" s="20"/>
    </row>
    <row r="206" spans="1:19">
      <c r="B206" s="35"/>
      <c r="C206" s="35"/>
      <c r="D206" s="20"/>
      <c r="E206" s="20"/>
      <c r="F206" s="20"/>
      <c r="G206" s="20"/>
      <c r="H206" s="20"/>
      <c r="I206" s="20"/>
      <c r="J206" s="20"/>
      <c r="K206" s="20"/>
      <c r="L206" s="20"/>
      <c r="M206" s="20"/>
      <c r="N206" s="20"/>
    </row>
    <row r="207" spans="1:19">
      <c r="B207" s="18"/>
      <c r="C207" s="18"/>
      <c r="D207" s="20"/>
      <c r="E207" s="20"/>
      <c r="F207" s="20"/>
      <c r="G207" s="20"/>
      <c r="H207" s="20"/>
      <c r="I207" s="20"/>
      <c r="J207" s="20"/>
      <c r="K207" s="20"/>
      <c r="L207" s="20"/>
      <c r="M207" s="20"/>
      <c r="N207" s="20"/>
    </row>
    <row r="208" spans="1:19">
      <c r="B208" s="35"/>
      <c r="C208" s="35"/>
      <c r="D208" s="122"/>
      <c r="E208" s="122"/>
      <c r="F208" s="122"/>
      <c r="G208" s="122"/>
      <c r="H208" s="122"/>
      <c r="I208" s="122"/>
      <c r="J208" s="122"/>
      <c r="K208" s="122"/>
      <c r="L208" s="122"/>
      <c r="M208" s="122"/>
      <c r="N208" s="119"/>
    </row>
    <row r="209" spans="1:14">
      <c r="A209" s="131"/>
      <c r="B209" s="35"/>
      <c r="C209" s="35"/>
      <c r="D209" s="20"/>
      <c r="E209" s="20"/>
      <c r="F209" s="20"/>
      <c r="G209" s="20"/>
      <c r="H209" s="20"/>
      <c r="I209" s="20"/>
      <c r="J209" s="20"/>
      <c r="K209" s="20"/>
      <c r="L209" s="20"/>
      <c r="M209" s="20"/>
      <c r="N209" s="20"/>
    </row>
    <row r="210" spans="1:14">
      <c r="B210" s="35"/>
      <c r="C210" s="35"/>
      <c r="D210" s="20"/>
      <c r="E210" s="20"/>
      <c r="F210" s="20"/>
      <c r="G210" s="20"/>
      <c r="H210" s="20"/>
      <c r="I210" s="20"/>
      <c r="J210" s="20"/>
      <c r="K210" s="20"/>
      <c r="L210" s="20"/>
      <c r="M210" s="20"/>
      <c r="N210" s="20"/>
    </row>
    <row r="211" spans="1:14">
      <c r="B211" s="18"/>
      <c r="C211" s="18"/>
      <c r="D211" s="20"/>
      <c r="E211" s="20"/>
      <c r="F211" s="20"/>
      <c r="G211" s="20"/>
      <c r="H211" s="20"/>
      <c r="I211" s="20"/>
      <c r="J211" s="20"/>
      <c r="K211" s="20"/>
      <c r="L211" s="20"/>
      <c r="M211" s="20"/>
      <c r="N211" s="20"/>
    </row>
    <row r="212" spans="1:14">
      <c r="D212" s="122"/>
      <c r="E212" s="122"/>
      <c r="F212" s="122"/>
      <c r="G212" s="122"/>
      <c r="H212" s="122"/>
      <c r="I212" s="122"/>
      <c r="J212" s="122"/>
      <c r="K212" s="122"/>
      <c r="L212" s="122"/>
      <c r="M212" s="122"/>
      <c r="N212" s="119"/>
    </row>
    <row r="213" spans="1:14">
      <c r="A213" s="131"/>
      <c r="D213" s="20"/>
      <c r="E213" s="20"/>
      <c r="F213" s="20"/>
      <c r="G213" s="20"/>
      <c r="H213" s="20"/>
      <c r="I213" s="20"/>
      <c r="J213" s="20"/>
      <c r="K213" s="20"/>
      <c r="L213" s="20"/>
      <c r="M213" s="20"/>
      <c r="N213" s="20"/>
    </row>
    <row r="215" spans="1:14">
      <c r="B215" s="142"/>
      <c r="C215" s="142"/>
    </row>
    <row r="216" spans="1:14">
      <c r="A216" s="12"/>
      <c r="B216" s="122"/>
      <c r="C216" s="122"/>
      <c r="D216" s="122"/>
      <c r="E216" s="122"/>
      <c r="F216" s="122"/>
      <c r="G216" s="122"/>
      <c r="H216" s="122"/>
      <c r="I216" s="122"/>
      <c r="J216" s="122"/>
      <c r="K216" s="122"/>
      <c r="L216" s="122"/>
      <c r="M216" s="122"/>
      <c r="N216" s="122"/>
    </row>
    <row r="217" spans="1:14">
      <c r="B217" s="8"/>
      <c r="C217" s="8"/>
      <c r="G217" s="214"/>
      <c r="N217" s="30"/>
    </row>
    <row r="218" spans="1:14">
      <c r="B218" s="131"/>
      <c r="C218" s="131"/>
      <c r="D218" s="122"/>
      <c r="E218" s="122"/>
    </row>
    <row r="219" spans="1:14">
      <c r="A219" s="206"/>
      <c r="B219" s="119"/>
      <c r="C219" s="119"/>
      <c r="D219" s="122"/>
      <c r="E219" s="122"/>
      <c r="F219" s="122"/>
      <c r="G219" s="122"/>
      <c r="H219" s="122"/>
      <c r="I219" s="122"/>
      <c r="J219" s="122"/>
      <c r="K219" s="122"/>
      <c r="L219" s="122"/>
      <c r="M219" s="122"/>
      <c r="N219" s="119"/>
    </row>
    <row r="220" spans="1:14">
      <c r="A220" s="131"/>
      <c r="B220" s="161"/>
      <c r="C220" s="161"/>
      <c r="D220" s="164"/>
      <c r="E220" s="164"/>
      <c r="F220" s="164"/>
      <c r="G220" s="164"/>
      <c r="H220" s="164"/>
      <c r="I220" s="164"/>
      <c r="J220" s="164"/>
      <c r="K220" s="164"/>
      <c r="L220" s="164"/>
      <c r="M220" s="164"/>
      <c r="N220" s="164"/>
    </row>
    <row r="221" spans="1:14">
      <c r="A221" s="131"/>
      <c r="B221" s="161"/>
      <c r="C221" s="161"/>
      <c r="D221" s="164"/>
      <c r="E221" s="164"/>
      <c r="F221" s="164"/>
      <c r="G221" s="164"/>
      <c r="H221" s="164"/>
      <c r="I221" s="164"/>
      <c r="J221" s="164"/>
      <c r="K221" s="164"/>
      <c r="L221" s="164"/>
      <c r="M221" s="164"/>
      <c r="N221" s="164"/>
    </row>
    <row r="222" spans="1:14">
      <c r="A222" s="131"/>
      <c r="B222" s="161"/>
      <c r="C222" s="161"/>
      <c r="D222" s="164"/>
      <c r="E222" s="164"/>
      <c r="F222" s="164"/>
      <c r="G222" s="164"/>
      <c r="H222" s="164"/>
      <c r="I222" s="164"/>
      <c r="J222" s="164"/>
      <c r="K222" s="164"/>
      <c r="L222" s="164"/>
      <c r="M222" s="164"/>
      <c r="N222" s="164"/>
    </row>
    <row r="223" spans="1:14">
      <c r="A223" s="131"/>
      <c r="B223" s="161"/>
      <c r="C223" s="161"/>
      <c r="D223" s="164"/>
      <c r="E223" s="164"/>
      <c r="F223" s="164"/>
      <c r="G223" s="164"/>
      <c r="H223" s="164"/>
      <c r="I223" s="164"/>
      <c r="J223" s="164"/>
      <c r="K223" s="164"/>
      <c r="L223" s="164"/>
      <c r="M223" s="164"/>
      <c r="N223" s="164"/>
    </row>
    <row r="224" spans="1:14">
      <c r="A224" s="131"/>
      <c r="B224" s="161"/>
      <c r="C224" s="161"/>
      <c r="D224" s="164"/>
      <c r="E224" s="164"/>
      <c r="F224" s="164"/>
      <c r="G224" s="164"/>
      <c r="H224" s="164"/>
      <c r="I224" s="164"/>
      <c r="J224" s="164"/>
      <c r="K224" s="164"/>
      <c r="L224" s="164"/>
      <c r="M224" s="164"/>
      <c r="N224" s="164"/>
    </row>
    <row r="225" spans="1:19">
      <c r="A225" s="131"/>
      <c r="B225" s="161"/>
      <c r="C225" s="161"/>
      <c r="D225" s="164"/>
      <c r="E225" s="164"/>
      <c r="F225" s="164"/>
      <c r="G225" s="164"/>
      <c r="H225" s="164"/>
      <c r="I225" s="164"/>
      <c r="J225" s="164"/>
      <c r="K225" s="164"/>
      <c r="L225" s="164"/>
      <c r="M225" s="164"/>
      <c r="N225" s="164"/>
    </row>
    <row r="226" spans="1:19">
      <c r="A226" s="131"/>
      <c r="B226" s="161"/>
      <c r="C226" s="161"/>
      <c r="D226" s="164"/>
      <c r="E226" s="164"/>
      <c r="F226" s="164"/>
      <c r="G226" s="164"/>
      <c r="H226" s="164"/>
      <c r="I226" s="164"/>
      <c r="J226" s="164"/>
      <c r="K226" s="164"/>
      <c r="L226" s="164"/>
      <c r="M226" s="164"/>
      <c r="N226" s="164"/>
    </row>
    <row r="227" spans="1:19">
      <c r="A227" s="131"/>
      <c r="B227" s="161"/>
      <c r="C227" s="161"/>
      <c r="D227" s="164"/>
      <c r="E227" s="164"/>
      <c r="F227" s="164"/>
      <c r="G227" s="164"/>
      <c r="H227" s="164"/>
      <c r="I227" s="164"/>
      <c r="J227" s="164"/>
      <c r="K227" s="164"/>
      <c r="L227" s="164"/>
      <c r="M227" s="164"/>
      <c r="N227" s="164"/>
    </row>
    <row r="228" spans="1:19">
      <c r="A228" s="131"/>
      <c r="B228" s="161"/>
      <c r="C228" s="161"/>
      <c r="D228" s="164"/>
      <c r="E228" s="164"/>
      <c r="F228" s="164"/>
      <c r="G228" s="164"/>
      <c r="H228" s="164"/>
      <c r="I228" s="164"/>
      <c r="J228" s="164"/>
      <c r="K228" s="164"/>
      <c r="L228" s="164"/>
      <c r="M228" s="164"/>
      <c r="N228" s="164"/>
    </row>
    <row r="229" spans="1:19">
      <c r="A229" s="131"/>
      <c r="B229" s="161"/>
      <c r="C229" s="161"/>
      <c r="D229" s="164"/>
      <c r="E229" s="164"/>
      <c r="F229" s="164"/>
      <c r="G229" s="164"/>
      <c r="H229" s="164"/>
      <c r="I229" s="164"/>
      <c r="J229" s="164"/>
      <c r="K229" s="164"/>
      <c r="L229" s="164"/>
      <c r="M229" s="164"/>
      <c r="N229" s="164"/>
    </row>
    <row r="230" spans="1:19">
      <c r="A230" s="131"/>
      <c r="B230" s="161"/>
      <c r="C230" s="161"/>
      <c r="D230" s="164"/>
      <c r="E230" s="164"/>
      <c r="F230" s="164"/>
      <c r="G230" s="164"/>
      <c r="H230" s="164"/>
      <c r="I230" s="164"/>
      <c r="J230" s="164"/>
      <c r="K230" s="164"/>
      <c r="L230" s="164"/>
      <c r="M230" s="164"/>
      <c r="N230" s="164"/>
    </row>
    <row r="231" spans="1:19">
      <c r="A231" s="131"/>
      <c r="B231" s="161"/>
      <c r="C231" s="161"/>
      <c r="D231" s="215"/>
      <c r="E231" s="215"/>
      <c r="F231" s="215"/>
      <c r="G231" s="215"/>
      <c r="H231" s="215"/>
      <c r="I231" s="215"/>
      <c r="J231" s="215"/>
      <c r="K231" s="215"/>
      <c r="L231" s="215"/>
      <c r="M231" s="215"/>
      <c r="N231" s="215"/>
    </row>
    <row r="232" spans="1:19">
      <c r="A232" s="131"/>
      <c r="B232" s="161"/>
      <c r="C232" s="161"/>
      <c r="D232" s="20"/>
      <c r="E232" s="20"/>
      <c r="F232" s="20"/>
      <c r="G232" s="20"/>
      <c r="H232" s="20"/>
      <c r="I232" s="20"/>
      <c r="J232" s="20"/>
      <c r="K232" s="20"/>
      <c r="L232" s="20"/>
      <c r="M232" s="20"/>
      <c r="N232" s="164"/>
    </row>
    <row r="234" spans="1:19">
      <c r="B234" s="16"/>
      <c r="C234" s="16"/>
      <c r="S234" s="17"/>
    </row>
    <row r="235" spans="1:19">
      <c r="B235" s="17"/>
      <c r="C235" s="17"/>
    </row>
    <row r="236" spans="1:19">
      <c r="B236" s="216"/>
      <c r="C236" s="216"/>
      <c r="D236" s="17"/>
      <c r="E236" s="17"/>
      <c r="F236" s="17"/>
      <c r="G236" s="17"/>
      <c r="H236" s="17"/>
      <c r="I236" s="17"/>
      <c r="K236" s="17"/>
      <c r="L236" s="17"/>
      <c r="M236" s="17"/>
      <c r="N236" s="17"/>
      <c r="O236" s="17"/>
      <c r="P236" s="17"/>
      <c r="Q236" s="17"/>
      <c r="R236" s="17"/>
    </row>
    <row r="238" spans="1:19">
      <c r="B238" s="18"/>
      <c r="C238" s="18"/>
    </row>
    <row r="239" spans="1:19">
      <c r="B239" s="18"/>
      <c r="C239" s="18"/>
    </row>
    <row r="240" spans="1:19">
      <c r="B240" s="35"/>
      <c r="C240" s="35"/>
    </row>
    <row r="241" spans="2:3">
      <c r="B241" s="17"/>
      <c r="C241" s="17"/>
    </row>
    <row r="242" spans="2:3">
      <c r="B242" s="18"/>
      <c r="C242" s="18"/>
    </row>
    <row r="243" spans="2:3">
      <c r="B243" s="18"/>
      <c r="C243" s="18"/>
    </row>
    <row r="244" spans="2:3">
      <c r="B244" s="18"/>
      <c r="C244" s="18"/>
    </row>
    <row r="245" spans="2:3">
      <c r="B245" s="17"/>
      <c r="C245" s="17"/>
    </row>
    <row r="246" spans="2:3">
      <c r="B246" s="18"/>
      <c r="C246" s="18"/>
    </row>
    <row r="247" spans="2:3">
      <c r="B247" s="217"/>
      <c r="C247" s="217"/>
    </row>
    <row r="248" spans="2:3">
      <c r="B248" s="17"/>
      <c r="C248" s="17"/>
    </row>
    <row r="249" spans="2:3">
      <c r="B249" s="17"/>
      <c r="C249" s="17"/>
    </row>
    <row r="251" spans="2:3">
      <c r="B251" s="17"/>
      <c r="C251" s="17"/>
    </row>
    <row r="252" spans="2:3">
      <c r="B252" s="17"/>
      <c r="C252" s="17"/>
    </row>
    <row r="256" spans="2:3">
      <c r="B256" s="17"/>
      <c r="C256" s="17"/>
    </row>
    <row r="257" spans="2:3">
      <c r="B257" s="18"/>
      <c r="C257" s="18"/>
    </row>
    <row r="258" spans="2:3">
      <c r="B258" s="18"/>
      <c r="C258" s="18"/>
    </row>
  </sheetData>
  <mergeCells count="4">
    <mergeCell ref="B133:Q133"/>
    <mergeCell ref="B134:Q134"/>
    <mergeCell ref="B135:Q135"/>
    <mergeCell ref="B136:Q136"/>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52" max="17" man="1"/>
    <brk id="117" max="17" man="1"/>
  </rowBreaks>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40"/>
  <sheetViews>
    <sheetView tabSelected="1" view="pageBreakPreview" topLeftCell="A89" zoomScale="55" zoomScaleNormal="75" zoomScaleSheetLayoutView="55" zoomScalePageLayoutView="55" workbookViewId="0">
      <selection activeCell="P108" sqref="P108"/>
    </sheetView>
  </sheetViews>
  <sheetFormatPr defaultColWidth="8.81640625" defaultRowHeight="14.5"/>
  <cols>
    <col min="1" max="1" width="6.81640625" style="30" bestFit="1" customWidth="1"/>
    <col min="2" max="3" width="16.26953125" customWidth="1"/>
    <col min="4" max="15" width="17.26953125" customWidth="1"/>
    <col min="16" max="16" width="20" customWidth="1"/>
    <col min="17" max="17" width="6.81640625" bestFit="1" customWidth="1"/>
    <col min="18" max="18" width="8.81640625" customWidth="1"/>
  </cols>
  <sheetData>
    <row r="1" spans="1:17">
      <c r="B1" s="12" t="s">
        <v>433</v>
      </c>
      <c r="G1" s="143"/>
      <c r="I1" s="17"/>
      <c r="N1" s="15"/>
      <c r="O1" s="8"/>
      <c r="P1" s="15" t="str">
        <f>CONCATENATE("Prior Year: ",'1-BaseTRR'!$F$2)</f>
        <v>Prior Year: 2022</v>
      </c>
    </row>
    <row r="2" spans="1:17">
      <c r="B2" s="117" t="s">
        <v>196</v>
      </c>
      <c r="C2" s="49"/>
      <c r="I2" s="17"/>
      <c r="N2" s="15"/>
      <c r="O2" s="8"/>
    </row>
    <row r="3" spans="1:17">
      <c r="A3" s="8"/>
    </row>
    <row r="4" spans="1:17">
      <c r="B4" s="118" t="s">
        <v>434</v>
      </c>
      <c r="C4" s="144"/>
      <c r="D4" s="144"/>
      <c r="E4" s="144"/>
      <c r="F4" s="144"/>
      <c r="G4" s="144"/>
      <c r="H4" s="144"/>
      <c r="I4" s="218"/>
      <c r="J4" s="219"/>
      <c r="K4" s="144"/>
      <c r="L4" s="144"/>
      <c r="M4" s="54"/>
      <c r="N4" s="54"/>
      <c r="O4" s="54"/>
      <c r="P4" s="54"/>
    </row>
    <row r="5" spans="1:17">
      <c r="B5" t="s">
        <v>1899</v>
      </c>
    </row>
    <row r="6" spans="1:17">
      <c r="B6" t="s">
        <v>1066</v>
      </c>
    </row>
    <row r="8" spans="1:17">
      <c r="A8" s="131"/>
      <c r="C8" s="122" t="s">
        <v>100</v>
      </c>
      <c r="D8" s="122" t="s">
        <v>101</v>
      </c>
      <c r="E8" s="122" t="s">
        <v>102</v>
      </c>
      <c r="F8" s="122" t="s">
        <v>103</v>
      </c>
      <c r="G8" s="122" t="s">
        <v>104</v>
      </c>
      <c r="H8" s="122" t="s">
        <v>105</v>
      </c>
      <c r="I8" s="122" t="s">
        <v>106</v>
      </c>
      <c r="J8" s="122" t="s">
        <v>107</v>
      </c>
      <c r="K8" s="122" t="s">
        <v>108</v>
      </c>
      <c r="L8" s="122" t="s">
        <v>271</v>
      </c>
      <c r="M8" s="122" t="s">
        <v>272</v>
      </c>
      <c r="N8" s="122" t="s">
        <v>273</v>
      </c>
      <c r="O8" s="122" t="s">
        <v>274</v>
      </c>
      <c r="P8" s="122"/>
    </row>
    <row r="9" spans="1:17">
      <c r="A9" s="131"/>
      <c r="C9" s="27"/>
      <c r="D9" s="27"/>
      <c r="E9" s="27"/>
      <c r="F9" s="27"/>
      <c r="G9" s="27"/>
      <c r="H9" s="27"/>
      <c r="I9" s="27"/>
      <c r="J9" s="27"/>
      <c r="K9" s="27"/>
      <c r="L9" s="27"/>
      <c r="M9" s="27"/>
      <c r="N9" s="27"/>
      <c r="O9" s="153" t="s">
        <v>1168</v>
      </c>
      <c r="P9" s="27"/>
    </row>
    <row r="10" spans="1:17">
      <c r="A10" s="131"/>
      <c r="C10" s="27"/>
      <c r="D10" s="27"/>
      <c r="E10" s="27"/>
      <c r="F10" s="27"/>
      <c r="G10" s="27"/>
      <c r="H10" s="27"/>
      <c r="I10" s="27"/>
      <c r="J10" s="27"/>
      <c r="K10" s="27"/>
      <c r="L10" s="27"/>
      <c r="M10" s="27"/>
      <c r="N10" s="27"/>
      <c r="O10" s="27"/>
      <c r="P10" s="27"/>
    </row>
    <row r="11" spans="1:17">
      <c r="B11" s="130" t="s">
        <v>348</v>
      </c>
      <c r="C11" s="123">
        <v>350.01</v>
      </c>
      <c r="D11" s="123">
        <v>350.02</v>
      </c>
      <c r="E11" s="123">
        <v>352.01</v>
      </c>
      <c r="F11" s="123">
        <v>352.02</v>
      </c>
      <c r="G11" s="123">
        <v>353.01</v>
      </c>
      <c r="H11" s="123">
        <v>353.02</v>
      </c>
      <c r="I11" s="123">
        <v>354</v>
      </c>
      <c r="J11" s="123">
        <v>355</v>
      </c>
      <c r="K11" s="123">
        <v>356</v>
      </c>
      <c r="L11" s="123">
        <v>357</v>
      </c>
      <c r="M11" s="123">
        <v>358</v>
      </c>
      <c r="N11" s="123">
        <v>359</v>
      </c>
    </row>
    <row r="12" spans="1:17">
      <c r="A12" s="119" t="s">
        <v>124</v>
      </c>
      <c r="B12" s="119" t="s">
        <v>435</v>
      </c>
      <c r="C12" s="122" t="s">
        <v>349</v>
      </c>
      <c r="D12" s="122" t="s">
        <v>350</v>
      </c>
      <c r="E12" s="122" t="s">
        <v>351</v>
      </c>
      <c r="F12" s="122" t="s">
        <v>352</v>
      </c>
      <c r="G12" s="122" t="s">
        <v>353</v>
      </c>
      <c r="H12" s="122" t="s">
        <v>354</v>
      </c>
      <c r="I12" s="122" t="s">
        <v>355</v>
      </c>
      <c r="J12" s="122" t="s">
        <v>356</v>
      </c>
      <c r="K12" s="122" t="s">
        <v>357</v>
      </c>
      <c r="L12" s="122" t="s">
        <v>358</v>
      </c>
      <c r="M12" s="122" t="s">
        <v>359</v>
      </c>
      <c r="N12" s="122" t="s">
        <v>360</v>
      </c>
      <c r="O12" s="122" t="s">
        <v>361</v>
      </c>
      <c r="P12" s="122"/>
      <c r="Q12" s="119" t="str">
        <f>A12</f>
        <v>Line</v>
      </c>
    </row>
    <row r="13" spans="1:17">
      <c r="A13" s="131">
        <v>100</v>
      </c>
      <c r="B13" s="17" t="s">
        <v>370</v>
      </c>
      <c r="C13" s="479">
        <v>0</v>
      </c>
      <c r="D13" s="479">
        <v>1824607.680485436</v>
      </c>
      <c r="E13" s="479">
        <v>2869693.2307170094</v>
      </c>
      <c r="F13" s="479">
        <v>594217.83677899872</v>
      </c>
      <c r="G13" s="479">
        <v>83847768.39310883</v>
      </c>
      <c r="H13" s="479">
        <v>47317.682430217021</v>
      </c>
      <c r="I13" s="479">
        <v>12267859.703524645</v>
      </c>
      <c r="J13" s="479">
        <v>4265500.7452651234</v>
      </c>
      <c r="K13" s="479">
        <v>26379976.505507272</v>
      </c>
      <c r="L13" s="479">
        <v>5437601.4943024106</v>
      </c>
      <c r="M13" s="479">
        <v>2333281.089869814</v>
      </c>
      <c r="N13" s="479">
        <v>1480026.9313527392</v>
      </c>
      <c r="O13" s="480">
        <f>SUM(C13:N13)</f>
        <v>141347851.29334253</v>
      </c>
      <c r="P13" s="220"/>
      <c r="Q13" s="131">
        <f>A13</f>
        <v>100</v>
      </c>
    </row>
    <row r="14" spans="1:17">
      <c r="A14" s="131">
        <f>+A13+1</f>
        <v>101</v>
      </c>
      <c r="B14" s="221" t="s">
        <v>371</v>
      </c>
      <c r="C14" s="472">
        <v>0</v>
      </c>
      <c r="D14" s="472">
        <v>2001241.1378097422</v>
      </c>
      <c r="E14" s="472">
        <v>3712026.9247844992</v>
      </c>
      <c r="F14" s="472">
        <v>1370650.4330054591</v>
      </c>
      <c r="G14" s="472">
        <v>152020301.49531078</v>
      </c>
      <c r="H14" s="472">
        <v>311836.85097247362</v>
      </c>
      <c r="I14" s="472">
        <v>11679469.734030776</v>
      </c>
      <c r="J14" s="472">
        <v>69378776.877657354</v>
      </c>
      <c r="K14" s="472">
        <v>42911446.761952586</v>
      </c>
      <c r="L14" s="472">
        <v>2534355.0681791073</v>
      </c>
      <c r="M14" s="472">
        <v>3270947.0308623225</v>
      </c>
      <c r="N14" s="472">
        <v>1749627.4974560989</v>
      </c>
      <c r="O14" s="481">
        <f>SUM(C14:N14)</f>
        <v>290940679.8120212</v>
      </c>
      <c r="P14" s="220"/>
      <c r="Q14" s="131">
        <f>A14</f>
        <v>101</v>
      </c>
    </row>
    <row r="15" spans="1:17">
      <c r="A15" s="131">
        <f>+A14+1</f>
        <v>102</v>
      </c>
      <c r="B15" s="142" t="s">
        <v>361</v>
      </c>
      <c r="C15" s="199">
        <f>SUM(C13:C14)</f>
        <v>0</v>
      </c>
      <c r="D15" s="199">
        <f t="shared" ref="D15:N15" si="0">SUM(D13:D14)</f>
        <v>3825848.818295178</v>
      </c>
      <c r="E15" s="199">
        <f t="shared" si="0"/>
        <v>6581720.1555015091</v>
      </c>
      <c r="F15" s="199">
        <f t="shared" si="0"/>
        <v>1964868.269784458</v>
      </c>
      <c r="G15" s="199">
        <f t="shared" si="0"/>
        <v>235868069.88841963</v>
      </c>
      <c r="H15" s="199">
        <f t="shared" si="0"/>
        <v>359154.53340269066</v>
      </c>
      <c r="I15" s="199">
        <f t="shared" si="0"/>
        <v>23947329.437555421</v>
      </c>
      <c r="J15" s="199">
        <f t="shared" si="0"/>
        <v>73644277.62292248</v>
      </c>
      <c r="K15" s="199">
        <f t="shared" si="0"/>
        <v>69291423.267459854</v>
      </c>
      <c r="L15" s="199">
        <f t="shared" si="0"/>
        <v>7971956.5624815179</v>
      </c>
      <c r="M15" s="199">
        <f t="shared" si="0"/>
        <v>5604228.1207321361</v>
      </c>
      <c r="N15" s="199">
        <f t="shared" si="0"/>
        <v>3229654.4288088381</v>
      </c>
      <c r="O15" s="463">
        <f>SUM(C15:N15)</f>
        <v>432288531.10536373</v>
      </c>
      <c r="P15" s="222"/>
      <c r="Q15" s="131">
        <f>A15</f>
        <v>102</v>
      </c>
    </row>
    <row r="16" spans="1:17">
      <c r="A16" s="27"/>
      <c r="B16" s="17"/>
      <c r="C16" s="17"/>
      <c r="D16" s="17"/>
      <c r="E16" s="17"/>
      <c r="F16" s="17"/>
      <c r="G16" s="17"/>
      <c r="H16" s="17"/>
      <c r="I16" s="17"/>
      <c r="J16" s="17"/>
      <c r="K16" s="17"/>
      <c r="L16" s="17"/>
      <c r="Q16" s="30"/>
    </row>
    <row r="17" spans="1:17">
      <c r="A17" s="27"/>
      <c r="B17" s="17"/>
      <c r="C17" s="17"/>
      <c r="D17" s="17"/>
      <c r="E17" s="17"/>
      <c r="F17" s="17"/>
      <c r="G17" s="17"/>
      <c r="H17" s="17"/>
      <c r="I17" s="17"/>
      <c r="J17" s="17"/>
      <c r="K17" s="17"/>
      <c r="L17" s="17"/>
      <c r="Q17" s="30"/>
    </row>
    <row r="18" spans="1:17">
      <c r="B18" s="57" t="s">
        <v>436</v>
      </c>
      <c r="C18" s="144"/>
      <c r="D18" s="144"/>
      <c r="E18" s="144"/>
      <c r="F18" s="144"/>
      <c r="G18" s="144"/>
      <c r="H18" s="144"/>
      <c r="I18" s="144"/>
      <c r="J18" s="144"/>
      <c r="K18" s="144"/>
      <c r="L18" s="144"/>
      <c r="M18" s="54"/>
      <c r="N18" s="54"/>
      <c r="O18" s="54"/>
      <c r="P18" s="54"/>
      <c r="Q18" s="30"/>
    </row>
    <row r="19" spans="1:17">
      <c r="B19" s="150" t="s">
        <v>1896</v>
      </c>
    </row>
    <row r="21" spans="1:17">
      <c r="A21" s="27"/>
      <c r="B21" s="17"/>
      <c r="C21" s="122" t="s">
        <v>100</v>
      </c>
      <c r="D21" s="122" t="s">
        <v>101</v>
      </c>
      <c r="E21" s="122" t="s">
        <v>102</v>
      </c>
      <c r="F21" s="17"/>
      <c r="G21" s="17"/>
      <c r="H21" s="17"/>
      <c r="I21" s="17"/>
      <c r="J21" s="17"/>
      <c r="K21" s="17"/>
      <c r="L21" s="17"/>
      <c r="Q21" s="30"/>
    </row>
    <row r="22" spans="1:17">
      <c r="C22" s="140" t="s">
        <v>366</v>
      </c>
      <c r="D22" s="153" t="s">
        <v>125</v>
      </c>
      <c r="E22" s="153" t="s">
        <v>125</v>
      </c>
      <c r="F22" s="17"/>
      <c r="G22" s="17"/>
      <c r="H22" s="17"/>
      <c r="I22" s="17"/>
      <c r="J22" s="17"/>
      <c r="K22" s="17"/>
      <c r="L22" s="17"/>
      <c r="Q22" s="30"/>
    </row>
    <row r="23" spans="1:17">
      <c r="D23" s="30"/>
      <c r="E23" s="30"/>
      <c r="F23" s="17"/>
      <c r="G23" s="17"/>
      <c r="H23" s="17"/>
      <c r="I23" s="17"/>
      <c r="J23" s="17"/>
      <c r="K23" s="17"/>
      <c r="L23" s="17"/>
      <c r="Q23" s="30"/>
    </row>
    <row r="24" spans="1:17">
      <c r="A24" s="119" t="s">
        <v>124</v>
      </c>
      <c r="B24" s="119" t="s">
        <v>111</v>
      </c>
      <c r="C24" s="122" t="s">
        <v>428</v>
      </c>
      <c r="D24" s="122" t="s">
        <v>370</v>
      </c>
      <c r="E24" s="122" t="s">
        <v>371</v>
      </c>
      <c r="F24" s="17"/>
      <c r="G24" s="17"/>
      <c r="H24" s="17"/>
      <c r="I24" s="17"/>
      <c r="J24" s="17"/>
      <c r="K24" s="17"/>
      <c r="L24" s="17"/>
      <c r="Q24" s="119" t="str">
        <f>A24</f>
        <v>Line</v>
      </c>
    </row>
    <row r="25" spans="1:17">
      <c r="A25" s="131">
        <v>200</v>
      </c>
      <c r="B25" s="156">
        <f>'1-BaseTRR'!$F$2</f>
        <v>2022</v>
      </c>
      <c r="C25" s="32">
        <f>D25+E25</f>
        <v>78454382.295716882</v>
      </c>
      <c r="D25" s="468">
        <v>26587311.584148124</v>
      </c>
      <c r="E25" s="468">
        <v>51867070.711568765</v>
      </c>
      <c r="F25" s="17"/>
      <c r="G25" s="17"/>
      <c r="H25" s="17"/>
      <c r="I25" s="17"/>
      <c r="J25" s="17"/>
      <c r="K25" s="17"/>
      <c r="L25" s="17"/>
      <c r="Q25" s="131">
        <f>A25</f>
        <v>200</v>
      </c>
    </row>
    <row r="26" spans="1:17">
      <c r="A26" s="155"/>
      <c r="B26" s="20"/>
      <c r="C26" s="20"/>
      <c r="D26" s="20"/>
      <c r="E26" s="17"/>
      <c r="F26" s="17"/>
      <c r="G26" s="17"/>
      <c r="H26" s="17"/>
      <c r="I26" s="17"/>
      <c r="J26" s="17"/>
      <c r="K26" s="17"/>
      <c r="L26" s="17"/>
      <c r="Q26" s="30"/>
    </row>
    <row r="27" spans="1:17">
      <c r="A27" s="155"/>
      <c r="B27" s="20"/>
      <c r="C27" s="20"/>
      <c r="D27" s="20"/>
      <c r="E27" s="17"/>
      <c r="F27" s="17"/>
      <c r="G27" s="17"/>
      <c r="H27" s="17"/>
      <c r="I27" s="17"/>
      <c r="J27" s="17"/>
      <c r="K27" s="17"/>
      <c r="L27" s="17"/>
      <c r="Q27" s="30"/>
    </row>
    <row r="28" spans="1:17">
      <c r="B28" s="57" t="s">
        <v>437</v>
      </c>
      <c r="C28" s="144"/>
      <c r="D28" s="144"/>
      <c r="E28" s="144"/>
      <c r="F28" s="144"/>
      <c r="G28" s="144"/>
      <c r="H28" s="144"/>
      <c r="I28" s="144"/>
      <c r="J28" s="144"/>
      <c r="K28" s="144"/>
      <c r="L28" s="144"/>
      <c r="M28" s="54"/>
      <c r="N28" s="54"/>
      <c r="O28" s="54"/>
      <c r="P28" s="54"/>
      <c r="Q28" s="30"/>
    </row>
    <row r="29" spans="1:17">
      <c r="B29" s="150" t="s">
        <v>1897</v>
      </c>
    </row>
    <row r="31" spans="1:17">
      <c r="B31" s="17"/>
      <c r="C31" s="122" t="s">
        <v>100</v>
      </c>
      <c r="D31" s="122" t="s">
        <v>101</v>
      </c>
      <c r="E31" s="122" t="s">
        <v>102</v>
      </c>
      <c r="F31" s="122" t="s">
        <v>103</v>
      </c>
      <c r="G31" s="122" t="s">
        <v>104</v>
      </c>
      <c r="H31" s="17"/>
      <c r="I31" s="17"/>
      <c r="J31" s="17"/>
      <c r="K31" s="17"/>
      <c r="L31" s="17"/>
      <c r="Q31" s="30"/>
    </row>
    <row r="32" spans="1:17" ht="29">
      <c r="A32" s="162"/>
      <c r="B32" s="223"/>
      <c r="C32" s="153" t="s">
        <v>126</v>
      </c>
      <c r="D32" s="153" t="s">
        <v>1057</v>
      </c>
      <c r="E32" s="166" t="s">
        <v>374</v>
      </c>
      <c r="F32" s="153" t="s">
        <v>1059</v>
      </c>
      <c r="G32" s="153" t="s">
        <v>1060</v>
      </c>
      <c r="H32" s="224"/>
      <c r="I32" s="224"/>
      <c r="J32" s="224"/>
      <c r="K32" s="224"/>
      <c r="L32" s="224"/>
      <c r="M32" s="223"/>
      <c r="N32" s="223"/>
      <c r="O32" s="223"/>
      <c r="P32" s="223"/>
      <c r="Q32" s="30"/>
    </row>
    <row r="33" spans="1:17">
      <c r="D33" s="225"/>
      <c r="F33" s="225"/>
      <c r="G33" s="225"/>
      <c r="H33" s="17"/>
      <c r="I33" s="17"/>
      <c r="J33" s="17"/>
      <c r="K33" s="17"/>
      <c r="L33" s="17"/>
      <c r="Q33" s="30"/>
    </row>
    <row r="34" spans="1:17">
      <c r="F34" s="225"/>
      <c r="G34" s="225"/>
      <c r="H34" s="17"/>
      <c r="I34" s="17"/>
      <c r="J34" s="17"/>
      <c r="K34" s="17"/>
      <c r="L34" s="17"/>
      <c r="Q34" s="30"/>
    </row>
    <row r="35" spans="1:17">
      <c r="C35" s="123" t="s">
        <v>376</v>
      </c>
      <c r="D35" s="8" t="s">
        <v>375</v>
      </c>
      <c r="E35" s="8" t="s">
        <v>190</v>
      </c>
      <c r="H35" s="17"/>
      <c r="I35" s="17"/>
      <c r="J35" s="17"/>
      <c r="K35" s="17"/>
      <c r="L35" s="17"/>
      <c r="Q35" s="30"/>
    </row>
    <row r="36" spans="1:17">
      <c r="C36" s="8" t="s">
        <v>438</v>
      </c>
      <c r="D36" s="8" t="s">
        <v>190</v>
      </c>
      <c r="E36" s="8" t="s">
        <v>439</v>
      </c>
      <c r="F36" s="123" t="s">
        <v>370</v>
      </c>
      <c r="G36" s="123" t="s">
        <v>371</v>
      </c>
      <c r="H36" s="17"/>
      <c r="I36" s="17"/>
      <c r="J36" s="17"/>
      <c r="K36" s="17"/>
      <c r="L36" s="17"/>
      <c r="Q36" s="30"/>
    </row>
    <row r="37" spans="1:17">
      <c r="A37" s="119" t="s">
        <v>124</v>
      </c>
      <c r="B37" s="119" t="s">
        <v>111</v>
      </c>
      <c r="C37" s="168" t="s">
        <v>377</v>
      </c>
      <c r="D37" s="168" t="s">
        <v>378</v>
      </c>
      <c r="E37" s="168" t="s">
        <v>379</v>
      </c>
      <c r="F37" s="168" t="s">
        <v>379</v>
      </c>
      <c r="G37" s="168" t="s">
        <v>379</v>
      </c>
      <c r="H37" s="17"/>
      <c r="I37" s="17"/>
      <c r="J37" s="17"/>
      <c r="K37" s="17"/>
      <c r="L37" s="17"/>
      <c r="Q37" s="119" t="str">
        <f>A37</f>
        <v>Line</v>
      </c>
    </row>
    <row r="38" spans="1:17">
      <c r="A38" s="131">
        <v>300</v>
      </c>
      <c r="B38" s="156">
        <f>'1-BaseTRR'!$F$2</f>
        <v>2022</v>
      </c>
      <c r="C38" s="468">
        <v>269126508.51370502</v>
      </c>
      <c r="D38" s="214">
        <f>'24-Allocators'!$C$24</f>
        <v>9.5754660785216397E-2</v>
      </c>
      <c r="E38" s="32">
        <f>+D38*C38</f>
        <v>25770117.531039476</v>
      </c>
      <c r="F38" s="482">
        <f>+E38*'24-Allocators'!$C$43</f>
        <v>8831267.4462669138</v>
      </c>
      <c r="G38" s="32">
        <f>+E38*'24-Allocators'!$C$44</f>
        <v>16938850.084772561</v>
      </c>
      <c r="H38" s="17"/>
      <c r="I38" s="17"/>
      <c r="J38" s="17"/>
      <c r="K38" s="17"/>
      <c r="L38" s="17"/>
      <c r="Q38" s="131">
        <f>A38</f>
        <v>300</v>
      </c>
    </row>
    <row r="39" spans="1:17">
      <c r="A39" s="131"/>
      <c r="B39" s="150"/>
      <c r="C39" s="164"/>
      <c r="D39" s="226"/>
      <c r="E39" s="20"/>
      <c r="F39" s="17"/>
      <c r="G39" s="17"/>
      <c r="H39" s="17"/>
      <c r="I39" s="17"/>
      <c r="J39" s="17"/>
      <c r="K39" s="17"/>
      <c r="L39" s="17"/>
      <c r="Q39" s="30"/>
    </row>
    <row r="40" spans="1:17">
      <c r="A40" s="131"/>
      <c r="B40" s="150"/>
      <c r="C40" s="164"/>
      <c r="D40" s="226"/>
      <c r="E40" s="20"/>
      <c r="F40" s="17"/>
      <c r="G40" s="17"/>
      <c r="H40" s="17"/>
      <c r="I40" s="17"/>
      <c r="J40" s="17"/>
      <c r="K40" s="17"/>
      <c r="L40" s="17"/>
      <c r="Q40" s="30"/>
    </row>
    <row r="41" spans="1:17">
      <c r="B41" s="57" t="s">
        <v>440</v>
      </c>
      <c r="C41" s="144"/>
      <c r="D41" s="144"/>
      <c r="E41" s="144"/>
      <c r="F41" s="144"/>
      <c r="G41" s="144"/>
      <c r="H41" s="144"/>
      <c r="I41" s="144"/>
      <c r="J41" s="144"/>
      <c r="K41" s="144"/>
      <c r="L41" s="144"/>
      <c r="M41" s="54"/>
      <c r="N41" s="54"/>
      <c r="O41" s="54"/>
      <c r="P41" s="54"/>
      <c r="Q41" s="30"/>
    </row>
    <row r="42" spans="1:17">
      <c r="B42" s="150" t="s">
        <v>1898</v>
      </c>
    </row>
    <row r="44" spans="1:17">
      <c r="B44" s="17"/>
      <c r="C44" s="122" t="s">
        <v>100</v>
      </c>
      <c r="D44" s="122" t="s">
        <v>101</v>
      </c>
      <c r="E44" s="122" t="s">
        <v>102</v>
      </c>
      <c r="F44" s="122" t="s">
        <v>103</v>
      </c>
      <c r="G44" s="122" t="s">
        <v>104</v>
      </c>
      <c r="H44" s="17"/>
      <c r="I44" s="17"/>
      <c r="J44" s="17"/>
      <c r="K44" s="17"/>
      <c r="L44" s="17"/>
      <c r="Q44" s="30"/>
    </row>
    <row r="45" spans="1:17" ht="29">
      <c r="A45" s="162"/>
      <c r="B45" s="223"/>
      <c r="C45" s="153" t="s">
        <v>169</v>
      </c>
      <c r="D45" s="153" t="s">
        <v>1058</v>
      </c>
      <c r="E45" s="166" t="s">
        <v>374</v>
      </c>
      <c r="F45" s="153" t="s">
        <v>1059</v>
      </c>
      <c r="G45" s="153" t="s">
        <v>1060</v>
      </c>
      <c r="H45" s="224"/>
      <c r="I45" s="224"/>
      <c r="J45" s="224"/>
      <c r="K45" s="224"/>
      <c r="L45" s="224"/>
      <c r="M45" s="223"/>
      <c r="N45" s="223"/>
      <c r="O45" s="223"/>
      <c r="P45" s="223"/>
      <c r="Q45" s="30"/>
    </row>
    <row r="46" spans="1:17">
      <c r="D46" s="225"/>
      <c r="E46" s="30"/>
      <c r="F46" s="225"/>
      <c r="G46" s="225"/>
      <c r="H46" s="17"/>
      <c r="I46" s="17"/>
      <c r="J46" s="17"/>
      <c r="K46" s="17"/>
      <c r="L46" s="17"/>
      <c r="Q46" s="30"/>
    </row>
    <row r="47" spans="1:17">
      <c r="H47" s="17"/>
      <c r="I47" s="17"/>
      <c r="J47" s="17"/>
      <c r="K47" s="17"/>
      <c r="L47" s="17"/>
      <c r="Q47" s="30"/>
    </row>
    <row r="48" spans="1:17">
      <c r="D48" s="8" t="s">
        <v>375</v>
      </c>
      <c r="E48" s="8" t="s">
        <v>190</v>
      </c>
      <c r="H48" s="17"/>
      <c r="I48" s="17"/>
      <c r="J48" s="17"/>
      <c r="K48" s="17"/>
      <c r="L48" s="17"/>
      <c r="Q48" s="30"/>
    </row>
    <row r="49" spans="1:18">
      <c r="C49" s="123" t="s">
        <v>441</v>
      </c>
      <c r="D49" s="8" t="s">
        <v>190</v>
      </c>
      <c r="E49" s="8" t="s">
        <v>439</v>
      </c>
      <c r="F49" s="123" t="s">
        <v>370</v>
      </c>
      <c r="G49" s="123" t="s">
        <v>371</v>
      </c>
      <c r="H49" s="17"/>
      <c r="I49" s="17"/>
      <c r="J49" s="17"/>
      <c r="K49" s="17"/>
      <c r="L49" s="17"/>
      <c r="Q49" s="30"/>
    </row>
    <row r="50" spans="1:18">
      <c r="A50" s="119" t="s">
        <v>124</v>
      </c>
      <c r="B50" s="119" t="s">
        <v>111</v>
      </c>
      <c r="C50" s="168" t="s">
        <v>377</v>
      </c>
      <c r="D50" s="168" t="s">
        <v>378</v>
      </c>
      <c r="E50" s="168" t="s">
        <v>442</v>
      </c>
      <c r="F50" s="168" t="s">
        <v>442</v>
      </c>
      <c r="G50" s="168" t="s">
        <v>442</v>
      </c>
      <c r="H50" s="17"/>
      <c r="I50" s="17"/>
      <c r="J50" s="17"/>
      <c r="K50" s="17"/>
      <c r="L50" s="17"/>
      <c r="Q50" s="119" t="str">
        <f>A50</f>
        <v>Line</v>
      </c>
    </row>
    <row r="51" spans="1:18">
      <c r="A51" s="131">
        <v>400</v>
      </c>
      <c r="B51" s="156">
        <f>'1-BaseTRR'!$F$2</f>
        <v>2022</v>
      </c>
      <c r="C51" s="468">
        <v>3874902.3722063196</v>
      </c>
      <c r="D51" s="31">
        <f>'24-Allocators'!$C$23</f>
        <v>0.13539553206179952</v>
      </c>
      <c r="E51" s="32">
        <f>+D51*C51</f>
        <v>524644.46837240376</v>
      </c>
      <c r="F51" s="483">
        <f>+E51*'24-Allocators'!$C$43</f>
        <v>179792.56822637902</v>
      </c>
      <c r="G51" s="32">
        <f>+E51*'24-Allocators'!$C$44</f>
        <v>344851.90014602477</v>
      </c>
      <c r="H51" s="17"/>
      <c r="I51" s="17"/>
      <c r="J51" s="17"/>
      <c r="K51" s="17"/>
      <c r="L51" s="17"/>
      <c r="Q51" s="131">
        <f>A51</f>
        <v>400</v>
      </c>
    </row>
    <row r="52" spans="1:18">
      <c r="A52" s="131"/>
      <c r="B52" s="150"/>
      <c r="C52" s="164"/>
      <c r="D52" s="226"/>
      <c r="E52" s="20"/>
      <c r="F52" s="17"/>
      <c r="G52" s="17"/>
      <c r="H52" s="17"/>
      <c r="I52" s="17"/>
      <c r="J52" s="17"/>
      <c r="K52" s="17"/>
      <c r="L52" s="17"/>
      <c r="Q52" s="30"/>
    </row>
    <row r="53" spans="1:18">
      <c r="A53" s="131"/>
      <c r="B53" s="150"/>
      <c r="C53" s="164"/>
      <c r="D53" s="226"/>
      <c r="E53" s="20"/>
      <c r="F53" s="17"/>
      <c r="G53" s="17"/>
      <c r="H53" s="17"/>
      <c r="I53" s="17"/>
      <c r="J53" s="17"/>
      <c r="K53" s="17"/>
      <c r="L53" s="17"/>
      <c r="Q53" s="30"/>
    </row>
    <row r="54" spans="1:18">
      <c r="B54" s="57" t="s">
        <v>443</v>
      </c>
      <c r="C54" s="144"/>
      <c r="D54" s="144"/>
      <c r="E54" s="144"/>
      <c r="F54" s="144"/>
      <c r="G54" s="144"/>
      <c r="H54" s="144"/>
      <c r="I54" s="144"/>
      <c r="J54" s="144"/>
      <c r="K54" s="144"/>
      <c r="L54" s="144"/>
      <c r="M54" s="54"/>
      <c r="N54" s="54"/>
      <c r="O54" s="54"/>
      <c r="P54" s="54"/>
      <c r="Q54" s="30"/>
    </row>
    <row r="55" spans="1:18">
      <c r="B55" s="150" t="s">
        <v>1170</v>
      </c>
    </row>
    <row r="56" spans="1:18">
      <c r="R56" s="142"/>
    </row>
    <row r="57" spans="1:18">
      <c r="B57" s="17"/>
      <c r="C57" s="122" t="s">
        <v>100</v>
      </c>
      <c r="D57" s="122" t="s">
        <v>101</v>
      </c>
      <c r="E57" s="122" t="s">
        <v>102</v>
      </c>
      <c r="F57" s="17"/>
      <c r="G57" s="17"/>
      <c r="H57" s="17"/>
      <c r="I57" s="17"/>
      <c r="J57" s="17"/>
      <c r="K57" s="17"/>
      <c r="L57" s="17"/>
      <c r="Q57" s="30"/>
    </row>
    <row r="58" spans="1:18" ht="29">
      <c r="B58" s="17"/>
      <c r="C58" s="153" t="s">
        <v>444</v>
      </c>
      <c r="D58" s="153" t="s">
        <v>444</v>
      </c>
      <c r="E58" s="153" t="s">
        <v>444</v>
      </c>
      <c r="F58" s="17"/>
      <c r="G58" s="17"/>
      <c r="H58" s="17"/>
      <c r="I58" s="17"/>
      <c r="J58" s="17"/>
      <c r="K58" s="17"/>
      <c r="L58" s="17"/>
      <c r="Q58" s="30"/>
    </row>
    <row r="59" spans="1:18">
      <c r="F59" s="17"/>
      <c r="G59" s="17"/>
      <c r="H59" s="17"/>
      <c r="I59" s="17"/>
      <c r="J59" s="17"/>
      <c r="K59" s="17"/>
      <c r="L59" s="17"/>
      <c r="Q59" s="30"/>
    </row>
    <row r="60" spans="1:18">
      <c r="A60" s="119" t="s">
        <v>124</v>
      </c>
      <c r="B60" s="119" t="s">
        <v>111</v>
      </c>
      <c r="C60" s="122" t="s">
        <v>428</v>
      </c>
      <c r="D60" s="122" t="s">
        <v>370</v>
      </c>
      <c r="E60" s="122" t="s">
        <v>371</v>
      </c>
      <c r="F60" s="17"/>
      <c r="G60" s="17"/>
      <c r="H60" s="17"/>
      <c r="I60" s="17"/>
      <c r="J60" s="17"/>
      <c r="K60" s="17"/>
      <c r="L60" s="17"/>
      <c r="Q60" s="119" t="str">
        <f>A60</f>
        <v>Line</v>
      </c>
    </row>
    <row r="61" spans="1:18">
      <c r="A61" s="131">
        <v>500</v>
      </c>
      <c r="B61" s="156">
        <f>'1-BaseTRR'!$F$2</f>
        <v>2022</v>
      </c>
      <c r="C61" s="483">
        <f>+C25+E38+E51</f>
        <v>104749144.29512876</v>
      </c>
      <c r="D61" s="483">
        <f>+D25+F38+F51</f>
        <v>35598371.598641418</v>
      </c>
      <c r="E61" s="32">
        <f>+E25+G38+G51</f>
        <v>69150772.696487352</v>
      </c>
      <c r="F61" s="164" t="s">
        <v>1067</v>
      </c>
      <c r="G61" s="17"/>
      <c r="H61" s="17"/>
      <c r="I61" s="17"/>
      <c r="J61" s="17"/>
      <c r="K61" s="17"/>
      <c r="L61" s="17"/>
      <c r="Q61" s="131">
        <f>A61</f>
        <v>500</v>
      </c>
    </row>
    <row r="62" spans="1:18">
      <c r="E62" s="17"/>
      <c r="F62" s="17"/>
      <c r="G62" s="17"/>
      <c r="H62" s="17"/>
      <c r="I62" s="17"/>
      <c r="J62" s="17"/>
      <c r="K62" s="17"/>
      <c r="L62" s="17"/>
      <c r="Q62" s="30"/>
    </row>
    <row r="63" spans="1:18">
      <c r="A63" s="27"/>
      <c r="B63" s="17"/>
      <c r="C63" s="17"/>
      <c r="D63" s="17"/>
      <c r="E63" s="17"/>
      <c r="F63" s="17"/>
      <c r="G63" s="17"/>
      <c r="H63" s="17"/>
      <c r="I63" s="17"/>
      <c r="J63" s="17"/>
      <c r="K63" s="17"/>
      <c r="L63" s="17"/>
      <c r="Q63" s="30"/>
    </row>
    <row r="64" spans="1:18">
      <c r="B64" s="820" t="s">
        <v>445</v>
      </c>
      <c r="C64" s="821"/>
      <c r="D64" s="821"/>
      <c r="E64" s="821"/>
      <c r="F64" s="821"/>
      <c r="G64" s="821"/>
      <c r="H64" s="821"/>
      <c r="I64" s="821"/>
      <c r="J64" s="821"/>
      <c r="K64" s="821"/>
      <c r="L64" s="821"/>
      <c r="M64" s="821"/>
      <c r="N64" s="821"/>
      <c r="O64" s="821"/>
      <c r="P64" s="822"/>
      <c r="Q64" s="142"/>
    </row>
    <row r="65" spans="1:17">
      <c r="A65" s="27"/>
      <c r="B65" s="17" t="s">
        <v>446</v>
      </c>
      <c r="C65" s="17"/>
      <c r="D65" s="17"/>
      <c r="E65" s="17"/>
      <c r="F65" s="17"/>
      <c r="G65" s="17"/>
      <c r="H65" s="17"/>
      <c r="I65" s="17"/>
      <c r="J65" s="17"/>
      <c r="K65" s="17"/>
      <c r="L65" s="17"/>
    </row>
    <row r="66" spans="1:17">
      <c r="A66" s="27"/>
      <c r="B66" s="17" t="s">
        <v>447</v>
      </c>
      <c r="C66" s="17"/>
      <c r="D66" s="17"/>
      <c r="E66" s="17"/>
      <c r="F66" s="17"/>
      <c r="G66" s="17"/>
      <c r="H66" s="17"/>
      <c r="I66" s="17"/>
      <c r="J66" s="17"/>
      <c r="K66" s="17"/>
      <c r="L66" s="17"/>
    </row>
    <row r="67" spans="1:17">
      <c r="A67" s="27"/>
      <c r="B67" s="17"/>
      <c r="C67" s="17"/>
      <c r="D67" s="17"/>
      <c r="E67" s="17"/>
      <c r="F67" s="17"/>
      <c r="G67" s="17"/>
      <c r="H67" s="17"/>
      <c r="I67" s="17"/>
      <c r="J67" s="17"/>
      <c r="K67" s="17"/>
      <c r="L67" s="17"/>
    </row>
    <row r="68" spans="1:17">
      <c r="A68" s="8"/>
      <c r="B68" s="57" t="s">
        <v>448</v>
      </c>
      <c r="C68" s="54"/>
      <c r="D68" s="54"/>
      <c r="E68" s="54"/>
      <c r="F68" s="54"/>
      <c r="G68" s="54"/>
      <c r="H68" s="144"/>
      <c r="I68" s="54"/>
      <c r="J68" s="54"/>
      <c r="K68" s="54"/>
      <c r="L68" s="54"/>
      <c r="M68" s="54"/>
      <c r="N68" s="54"/>
      <c r="O68" s="54"/>
      <c r="P68" s="54"/>
    </row>
    <row r="69" spans="1:17">
      <c r="B69" s="150" t="s">
        <v>1068</v>
      </c>
    </row>
    <row r="71" spans="1:17">
      <c r="A71" s="8"/>
      <c r="D71" s="122" t="s">
        <v>100</v>
      </c>
      <c r="E71" s="122" t="s">
        <v>101</v>
      </c>
      <c r="F71" s="122" t="s">
        <v>102</v>
      </c>
      <c r="G71" s="122" t="s">
        <v>103</v>
      </c>
      <c r="H71" s="122" t="s">
        <v>104</v>
      </c>
      <c r="I71" s="122" t="s">
        <v>105</v>
      </c>
      <c r="J71" s="122" t="s">
        <v>106</v>
      </c>
      <c r="K71" s="122" t="s">
        <v>107</v>
      </c>
      <c r="L71" s="122" t="s">
        <v>108</v>
      </c>
      <c r="M71" s="122" t="s">
        <v>271</v>
      </c>
      <c r="N71" s="122" t="s">
        <v>272</v>
      </c>
      <c r="O71" s="122" t="s">
        <v>273</v>
      </c>
      <c r="P71" s="122" t="s">
        <v>274</v>
      </c>
    </row>
    <row r="72" spans="1:17">
      <c r="B72" s="8"/>
      <c r="C72" s="8"/>
      <c r="D72" s="162" t="s">
        <v>449</v>
      </c>
      <c r="E72" s="162" t="s">
        <v>449</v>
      </c>
      <c r="F72" s="162" t="s">
        <v>449</v>
      </c>
      <c r="G72" s="162" t="s">
        <v>449</v>
      </c>
      <c r="H72" s="162" t="s">
        <v>449</v>
      </c>
      <c r="I72" s="162" t="s">
        <v>449</v>
      </c>
      <c r="J72" s="162" t="s">
        <v>449</v>
      </c>
      <c r="K72" s="162" t="s">
        <v>449</v>
      </c>
      <c r="L72" s="162" t="s">
        <v>449</v>
      </c>
      <c r="M72" s="162" t="s">
        <v>449</v>
      </c>
      <c r="N72" s="162" t="s">
        <v>449</v>
      </c>
      <c r="O72" s="162" t="s">
        <v>449</v>
      </c>
      <c r="P72" s="153" t="s">
        <v>1168</v>
      </c>
    </row>
    <row r="73" spans="1:17">
      <c r="B73" s="8"/>
      <c r="C73" s="8"/>
      <c r="N73" s="30"/>
      <c r="P73" s="153"/>
    </row>
    <row r="74" spans="1:17">
      <c r="A74" s="131"/>
      <c r="C74" s="15" t="s">
        <v>348</v>
      </c>
      <c r="D74" s="123">
        <v>350.01</v>
      </c>
      <c r="E74" s="123">
        <v>350.02</v>
      </c>
      <c r="F74" s="123">
        <v>352.01</v>
      </c>
      <c r="G74" s="123">
        <v>352.02</v>
      </c>
      <c r="H74" s="123">
        <v>353.01</v>
      </c>
      <c r="I74" s="123">
        <v>353.02</v>
      </c>
      <c r="J74" s="123">
        <v>354</v>
      </c>
      <c r="K74" s="123">
        <v>355</v>
      </c>
      <c r="L74" s="123">
        <v>356</v>
      </c>
      <c r="M74" s="123">
        <v>357</v>
      </c>
      <c r="N74" s="123">
        <v>358</v>
      </c>
      <c r="O74" s="123">
        <v>359</v>
      </c>
    </row>
    <row r="75" spans="1:17">
      <c r="A75" s="119" t="s">
        <v>124</v>
      </c>
      <c r="B75" s="119" t="s">
        <v>82</v>
      </c>
      <c r="C75" s="119" t="s">
        <v>111</v>
      </c>
      <c r="D75" s="122" t="s">
        <v>349</v>
      </c>
      <c r="E75" s="122" t="s">
        <v>350</v>
      </c>
      <c r="F75" s="122" t="s">
        <v>351</v>
      </c>
      <c r="G75" s="122" t="s">
        <v>352</v>
      </c>
      <c r="H75" s="122" t="s">
        <v>353</v>
      </c>
      <c r="I75" s="122" t="s">
        <v>354</v>
      </c>
      <c r="J75" s="122" t="s">
        <v>355</v>
      </c>
      <c r="K75" s="122" t="s">
        <v>356</v>
      </c>
      <c r="L75" s="122" t="s">
        <v>357</v>
      </c>
      <c r="M75" s="122" t="s">
        <v>358</v>
      </c>
      <c r="N75" s="122" t="s">
        <v>359</v>
      </c>
      <c r="O75" s="122" t="s">
        <v>360</v>
      </c>
      <c r="P75" s="119" t="s">
        <v>361</v>
      </c>
      <c r="Q75" s="119" t="str">
        <f>A75</f>
        <v>Line</v>
      </c>
    </row>
    <row r="76" spans="1:17">
      <c r="A76" s="131">
        <v>600</v>
      </c>
      <c r="B76" s="150" t="s">
        <v>114</v>
      </c>
      <c r="C76" s="156">
        <f>'1-BaseTRR'!$F$2</f>
        <v>2022</v>
      </c>
      <c r="D76" s="466">
        <f>+'7-PlantInService'!D13</f>
        <v>83668290.879999995</v>
      </c>
      <c r="E76" s="466">
        <f>+'7-PlantInService'!E13</f>
        <v>210242376.84000003</v>
      </c>
      <c r="F76" s="466">
        <f>+'7-PlantInService'!F13</f>
        <v>363978809.27999997</v>
      </c>
      <c r="G76" s="466">
        <f>+'7-PlantInService'!G13</f>
        <v>108971776.86</v>
      </c>
      <c r="H76" s="466">
        <f>+'7-PlantInService'!H13</f>
        <v>7536364529.9299994</v>
      </c>
      <c r="I76" s="466">
        <f>+'7-PlantInService'!I13</f>
        <v>35991450.320000008</v>
      </c>
      <c r="J76" s="466">
        <f>+'7-PlantInService'!J13</f>
        <v>1042130553.72</v>
      </c>
      <c r="K76" s="466">
        <f>+'7-PlantInService'!K13</f>
        <v>2211040492.73</v>
      </c>
      <c r="L76" s="466">
        <f>+'7-PlantInService'!L13</f>
        <v>2386266085.5900002</v>
      </c>
      <c r="M76" s="466">
        <f>+'7-PlantInService'!M13</f>
        <v>520059211.48999995</v>
      </c>
      <c r="N76" s="466">
        <f>+'7-PlantInService'!N13</f>
        <v>282790466.08999997</v>
      </c>
      <c r="O76" s="466">
        <f>+'7-PlantInService'!O13</f>
        <v>165949027.57999998</v>
      </c>
      <c r="P76" s="33">
        <f t="shared" ref="P76:P87" si="1">SUM(D76:O76)</f>
        <v>14947453071.309998</v>
      </c>
      <c r="Q76" s="131">
        <f t="shared" ref="Q76:Q87" si="2">A76</f>
        <v>600</v>
      </c>
    </row>
    <row r="77" spans="1:17">
      <c r="A77" s="131">
        <f t="shared" ref="A77:A87" si="3">A76+1</f>
        <v>601</v>
      </c>
      <c r="B77" s="150" t="s">
        <v>115</v>
      </c>
      <c r="C77" s="156">
        <f>'1-BaseTRR'!$F$2</f>
        <v>2022</v>
      </c>
      <c r="D77" s="466">
        <f>+'7-PlantInService'!D14</f>
        <v>83773913.640000001</v>
      </c>
      <c r="E77" s="466">
        <f>+'7-PlantInService'!E14</f>
        <v>210432771.73000002</v>
      </c>
      <c r="F77" s="466">
        <f>+'7-PlantInService'!F14</f>
        <v>363081146.67000002</v>
      </c>
      <c r="G77" s="466">
        <f>+'7-PlantInService'!G14</f>
        <v>108983561.52000001</v>
      </c>
      <c r="H77" s="466">
        <f>+'7-PlantInService'!H14</f>
        <v>7550640865.8299999</v>
      </c>
      <c r="I77" s="466">
        <f>+'7-PlantInService'!I14</f>
        <v>35992353.820000008</v>
      </c>
      <c r="J77" s="466">
        <f>+'7-PlantInService'!J14</f>
        <v>1032595810.75</v>
      </c>
      <c r="K77" s="466">
        <f>+'7-PlantInService'!K14</f>
        <v>2228107287.1500001</v>
      </c>
      <c r="L77" s="466">
        <f>+'7-PlantInService'!L14</f>
        <v>2420922917.0500002</v>
      </c>
      <c r="M77" s="466">
        <f>+'7-PlantInService'!M14</f>
        <v>520108065.39999998</v>
      </c>
      <c r="N77" s="466">
        <f>+'7-PlantInService'!N14</f>
        <v>282791263.80000001</v>
      </c>
      <c r="O77" s="466">
        <f>+'7-PlantInService'!O14</f>
        <v>166197061.33999997</v>
      </c>
      <c r="P77" s="33">
        <f t="shared" si="1"/>
        <v>15003627018.699999</v>
      </c>
      <c r="Q77" s="131">
        <f t="shared" si="2"/>
        <v>601</v>
      </c>
    </row>
    <row r="78" spans="1:17">
      <c r="A78" s="131">
        <f t="shared" si="3"/>
        <v>602</v>
      </c>
      <c r="B78" s="150" t="s">
        <v>116</v>
      </c>
      <c r="C78" s="156">
        <f>'1-BaseTRR'!$F$2</f>
        <v>2022</v>
      </c>
      <c r="D78" s="466">
        <f>+'7-PlantInService'!D15</f>
        <v>85296017.439999998</v>
      </c>
      <c r="E78" s="466">
        <f>+'7-PlantInService'!E15</f>
        <v>210701042.81</v>
      </c>
      <c r="F78" s="466">
        <f>+'7-PlantInService'!F15</f>
        <v>363504242.85000002</v>
      </c>
      <c r="G78" s="466">
        <f>+'7-PlantInService'!G15</f>
        <v>109132221.63</v>
      </c>
      <c r="H78" s="466">
        <f>+'7-PlantInService'!H15</f>
        <v>7559868208.7600002</v>
      </c>
      <c r="I78" s="466">
        <f>+'7-PlantInService'!I15</f>
        <v>35992352.239999995</v>
      </c>
      <c r="J78" s="466">
        <f>+'7-PlantInService'!J15</f>
        <v>1037098813.27</v>
      </c>
      <c r="K78" s="466">
        <f>+'7-PlantInService'!K15</f>
        <v>2234979699.1999998</v>
      </c>
      <c r="L78" s="466">
        <f>+'7-PlantInService'!L15</f>
        <v>2411265605.1599998</v>
      </c>
      <c r="M78" s="466">
        <f>+'7-PlantInService'!M15</f>
        <v>520166480.04999995</v>
      </c>
      <c r="N78" s="466">
        <f>+'7-PlantInService'!N15</f>
        <v>282997499.23000002</v>
      </c>
      <c r="O78" s="466">
        <f>+'7-PlantInService'!O15</f>
        <v>168300356.50999999</v>
      </c>
      <c r="P78" s="33">
        <f t="shared" si="1"/>
        <v>15019302539.15</v>
      </c>
      <c r="Q78" s="131">
        <f t="shared" si="2"/>
        <v>602</v>
      </c>
    </row>
    <row r="79" spans="1:17">
      <c r="A79" s="131">
        <f t="shared" si="3"/>
        <v>603</v>
      </c>
      <c r="B79" s="150" t="s">
        <v>117</v>
      </c>
      <c r="C79" s="156">
        <f>'1-BaseTRR'!$F$2</f>
        <v>2022</v>
      </c>
      <c r="D79" s="466">
        <f>+'7-PlantInService'!D16</f>
        <v>92371233.189999998</v>
      </c>
      <c r="E79" s="466">
        <f>+'7-PlantInService'!E16</f>
        <v>210937418.45999998</v>
      </c>
      <c r="F79" s="466">
        <f>+'7-PlantInService'!F16</f>
        <v>363830202.03999996</v>
      </c>
      <c r="G79" s="466">
        <f>+'7-PlantInService'!G16</f>
        <v>110047067.56</v>
      </c>
      <c r="H79" s="466">
        <f>+'7-PlantInService'!H16</f>
        <v>7591821911.7399998</v>
      </c>
      <c r="I79" s="466">
        <f>+'7-PlantInService'!I16</f>
        <v>35973643.620000005</v>
      </c>
      <c r="J79" s="466">
        <f>+'7-PlantInService'!J16</f>
        <v>1034650792.88</v>
      </c>
      <c r="K79" s="466">
        <f>+'7-PlantInService'!K16</f>
        <v>2257391804.23</v>
      </c>
      <c r="L79" s="466">
        <f>+'7-PlantInService'!L16</f>
        <v>2450448699.3299999</v>
      </c>
      <c r="M79" s="466">
        <f>+'7-PlantInService'!M16</f>
        <v>522769863.84999996</v>
      </c>
      <c r="N79" s="466">
        <f>+'7-PlantInService'!N16</f>
        <v>282435654.76999998</v>
      </c>
      <c r="O79" s="466">
        <f>+'7-PlantInService'!O16</f>
        <v>169280206.31999999</v>
      </c>
      <c r="P79" s="33">
        <f t="shared" si="1"/>
        <v>15121958497.99</v>
      </c>
      <c r="Q79" s="131">
        <f t="shared" si="2"/>
        <v>603</v>
      </c>
    </row>
    <row r="80" spans="1:17">
      <c r="A80" s="131">
        <f t="shared" si="3"/>
        <v>604</v>
      </c>
      <c r="B80" s="150" t="s">
        <v>90</v>
      </c>
      <c r="C80" s="156">
        <f>'1-BaseTRR'!$F$2</f>
        <v>2022</v>
      </c>
      <c r="D80" s="466">
        <f>+'7-PlantInService'!D17</f>
        <v>94673185.409999996</v>
      </c>
      <c r="E80" s="466">
        <f>+'7-PlantInService'!E17</f>
        <v>211078728.74000001</v>
      </c>
      <c r="F80" s="466">
        <f>+'7-PlantInService'!F17</f>
        <v>364048065.31</v>
      </c>
      <c r="G80" s="466">
        <f>+'7-PlantInService'!G17</f>
        <v>110794960.08000001</v>
      </c>
      <c r="H80" s="466">
        <f>+'7-PlantInService'!H17</f>
        <v>7617166066.250001</v>
      </c>
      <c r="I80" s="466">
        <f>+'7-PlantInService'!I17</f>
        <v>35973646.280000001</v>
      </c>
      <c r="J80" s="466">
        <f>+'7-PlantInService'!J17</f>
        <v>1022318468.98</v>
      </c>
      <c r="K80" s="466">
        <f>+'7-PlantInService'!K17</f>
        <v>2269311326.0599999</v>
      </c>
      <c r="L80" s="466">
        <f>+'7-PlantInService'!L17</f>
        <v>2506482777.4300003</v>
      </c>
      <c r="M80" s="466">
        <f>+'7-PlantInService'!M17</f>
        <v>522597272.31999993</v>
      </c>
      <c r="N80" s="466">
        <f>+'7-PlantInService'!N17</f>
        <v>282517176.63999999</v>
      </c>
      <c r="O80" s="466">
        <f>+'7-PlantInService'!O17</f>
        <v>169901273.38999999</v>
      </c>
      <c r="P80" s="33">
        <f t="shared" si="1"/>
        <v>15206862946.889999</v>
      </c>
      <c r="Q80" s="131">
        <f t="shared" si="2"/>
        <v>604</v>
      </c>
    </row>
    <row r="81" spans="1:17">
      <c r="A81" s="131">
        <f t="shared" si="3"/>
        <v>605</v>
      </c>
      <c r="B81" s="150" t="s">
        <v>277</v>
      </c>
      <c r="C81" s="156">
        <f>'1-BaseTRR'!$F$2</f>
        <v>2022</v>
      </c>
      <c r="D81" s="466">
        <f>+'7-PlantInService'!D18</f>
        <v>94809399.989999995</v>
      </c>
      <c r="E81" s="466">
        <f>+'7-PlantInService'!E18</f>
        <v>211132515.65000001</v>
      </c>
      <c r="F81" s="466">
        <f>+'7-PlantInService'!F18</f>
        <v>363580781.86000001</v>
      </c>
      <c r="G81" s="466">
        <f>+'7-PlantInService'!G18</f>
        <v>112787174.66000001</v>
      </c>
      <c r="H81" s="466">
        <f>+'7-PlantInService'!H18</f>
        <v>7605118827.2200012</v>
      </c>
      <c r="I81" s="466">
        <f>+'7-PlantInService'!I18</f>
        <v>35973656.159999996</v>
      </c>
      <c r="J81" s="466">
        <f>+'7-PlantInService'!J18</f>
        <v>1023321522.55</v>
      </c>
      <c r="K81" s="466">
        <f>+'7-PlantInService'!K18</f>
        <v>2287220558.2199998</v>
      </c>
      <c r="L81" s="466">
        <f>+'7-PlantInService'!L18</f>
        <v>2530758591.9899998</v>
      </c>
      <c r="M81" s="466">
        <f>+'7-PlantInService'!M18</f>
        <v>524968165.93999994</v>
      </c>
      <c r="N81" s="466">
        <f>+'7-PlantInService'!N18</f>
        <v>282715294.25999999</v>
      </c>
      <c r="O81" s="466">
        <f>+'7-PlantInService'!O18</f>
        <v>171062777.22</v>
      </c>
      <c r="P81" s="33">
        <f t="shared" si="1"/>
        <v>15243449265.719999</v>
      </c>
      <c r="Q81" s="131">
        <f t="shared" si="2"/>
        <v>605</v>
      </c>
    </row>
    <row r="82" spans="1:17">
      <c r="A82" s="131">
        <f t="shared" si="3"/>
        <v>606</v>
      </c>
      <c r="B82" s="150" t="s">
        <v>119</v>
      </c>
      <c r="C82" s="156">
        <f>'1-BaseTRR'!$F$2</f>
        <v>2022</v>
      </c>
      <c r="D82" s="466">
        <f>+'7-PlantInService'!D19</f>
        <v>94940467.480000004</v>
      </c>
      <c r="E82" s="466">
        <f>+'7-PlantInService'!E19</f>
        <v>211231613.22999999</v>
      </c>
      <c r="F82" s="466">
        <f>+'7-PlantInService'!F19</f>
        <v>363726447.28999996</v>
      </c>
      <c r="G82" s="466">
        <f>+'7-PlantInService'!G19</f>
        <v>114024499.11000001</v>
      </c>
      <c r="H82" s="466">
        <f>+'7-PlantInService'!H19</f>
        <v>7611923009.5599995</v>
      </c>
      <c r="I82" s="466">
        <f>+'7-PlantInService'!I19</f>
        <v>35989538.849999994</v>
      </c>
      <c r="J82" s="466">
        <f>+'7-PlantInService'!J19</f>
        <v>1025470774.99</v>
      </c>
      <c r="K82" s="466">
        <f>+'7-PlantInService'!K19</f>
        <v>2302162630.5100002</v>
      </c>
      <c r="L82" s="466">
        <f>+'7-PlantInService'!L19</f>
        <v>2564087393.1899996</v>
      </c>
      <c r="M82" s="466">
        <f>+'7-PlantInService'!M19</f>
        <v>524953454.66999996</v>
      </c>
      <c r="N82" s="466">
        <f>+'7-PlantInService'!N19</f>
        <v>283098366.38999999</v>
      </c>
      <c r="O82" s="466">
        <f>+'7-PlantInService'!O19</f>
        <v>171479636.69999999</v>
      </c>
      <c r="P82" s="33">
        <f t="shared" si="1"/>
        <v>15303087831.969999</v>
      </c>
      <c r="Q82" s="131">
        <f t="shared" si="2"/>
        <v>606</v>
      </c>
    </row>
    <row r="83" spans="1:17">
      <c r="A83" s="131">
        <f t="shared" si="3"/>
        <v>607</v>
      </c>
      <c r="B83" s="150" t="s">
        <v>120</v>
      </c>
      <c r="C83" s="156">
        <f>'1-BaseTRR'!$F$2</f>
        <v>2022</v>
      </c>
      <c r="D83" s="466">
        <f>+'7-PlantInService'!D20</f>
        <v>95064535.129999995</v>
      </c>
      <c r="E83" s="466">
        <f>+'7-PlantInService'!E20</f>
        <v>211324176.33999997</v>
      </c>
      <c r="F83" s="466">
        <f>+'7-PlantInService'!F20</f>
        <v>363652627.88</v>
      </c>
      <c r="G83" s="466">
        <f>+'7-PlantInService'!G20</f>
        <v>114954306.44000001</v>
      </c>
      <c r="H83" s="466">
        <f>+'7-PlantInService'!H20</f>
        <v>7656548690.75</v>
      </c>
      <c r="I83" s="466">
        <f>+'7-PlantInService'!I20</f>
        <v>35989549.010000005</v>
      </c>
      <c r="J83" s="466">
        <f>+'7-PlantInService'!J20</f>
        <v>1026343054.85</v>
      </c>
      <c r="K83" s="466">
        <f>+'7-PlantInService'!K20</f>
        <v>2316615680.48</v>
      </c>
      <c r="L83" s="466">
        <f>+'7-PlantInService'!L20</f>
        <v>2603819602.6199999</v>
      </c>
      <c r="M83" s="466">
        <f>+'7-PlantInService'!M20</f>
        <v>525030176.54999995</v>
      </c>
      <c r="N83" s="466">
        <f>+'7-PlantInService'!N20</f>
        <v>283623102.63</v>
      </c>
      <c r="O83" s="466">
        <f>+'7-PlantInService'!O20</f>
        <v>172696618.66</v>
      </c>
      <c r="P83" s="33">
        <f t="shared" si="1"/>
        <v>15405662121.339998</v>
      </c>
      <c r="Q83" s="131">
        <f t="shared" si="2"/>
        <v>607</v>
      </c>
    </row>
    <row r="84" spans="1:17">
      <c r="A84" s="131">
        <f t="shared" si="3"/>
        <v>608</v>
      </c>
      <c r="B84" s="150" t="s">
        <v>121</v>
      </c>
      <c r="C84" s="156">
        <f>'1-BaseTRR'!$F$2</f>
        <v>2022</v>
      </c>
      <c r="D84" s="466">
        <f>+'7-PlantInService'!D21</f>
        <v>94780250.469999999</v>
      </c>
      <c r="E84" s="466">
        <f>+'7-PlantInService'!E21</f>
        <v>211480219.58000001</v>
      </c>
      <c r="F84" s="466">
        <f>+'7-PlantInService'!F21</f>
        <v>363885231.74000001</v>
      </c>
      <c r="G84" s="466">
        <f>+'7-PlantInService'!G21</f>
        <v>121230489.86</v>
      </c>
      <c r="H84" s="466">
        <f>+'7-PlantInService'!H21</f>
        <v>7677420001.2200003</v>
      </c>
      <c r="I84" s="466">
        <f>+'7-PlantInService'!I21</f>
        <v>35989552.450000003</v>
      </c>
      <c r="J84" s="466">
        <f>+'7-PlantInService'!J21</f>
        <v>1020412250.77</v>
      </c>
      <c r="K84" s="466">
        <f>+'7-PlantInService'!K21</f>
        <v>2333265590.4500003</v>
      </c>
      <c r="L84" s="466">
        <f>+'7-PlantInService'!L21</f>
        <v>2629508490.4200001</v>
      </c>
      <c r="M84" s="466">
        <f>+'7-PlantInService'!M21</f>
        <v>525052226.84999996</v>
      </c>
      <c r="N84" s="466">
        <f>+'7-PlantInService'!N21</f>
        <v>282045653.62</v>
      </c>
      <c r="O84" s="466">
        <f>+'7-PlantInService'!O21</f>
        <v>175259554.53999999</v>
      </c>
      <c r="P84" s="33">
        <f t="shared" si="1"/>
        <v>15470329511.970003</v>
      </c>
      <c r="Q84" s="131">
        <f t="shared" si="2"/>
        <v>608</v>
      </c>
    </row>
    <row r="85" spans="1:17">
      <c r="A85" s="131">
        <f t="shared" si="3"/>
        <v>609</v>
      </c>
      <c r="B85" s="150" t="s">
        <v>122</v>
      </c>
      <c r="C85" s="156">
        <f>'1-BaseTRR'!$F$2</f>
        <v>2022</v>
      </c>
      <c r="D85" s="466">
        <f>+'7-PlantInService'!D22</f>
        <v>94858310.390000001</v>
      </c>
      <c r="E85" s="466">
        <f>+'7-PlantInService'!E22</f>
        <v>211563307.46000001</v>
      </c>
      <c r="F85" s="466">
        <f>+'7-PlantInService'!F22</f>
        <v>363922752.50999999</v>
      </c>
      <c r="G85" s="466">
        <f>+'7-PlantInService'!G22</f>
        <v>119864984.45</v>
      </c>
      <c r="H85" s="466">
        <f>+'7-PlantInService'!H22</f>
        <v>7675974348.3999996</v>
      </c>
      <c r="I85" s="466">
        <f>+'7-PlantInService'!I22</f>
        <v>35989555.329999998</v>
      </c>
      <c r="J85" s="466">
        <f>+'7-PlantInService'!J22</f>
        <v>1032276234.25</v>
      </c>
      <c r="K85" s="466">
        <f>+'7-PlantInService'!K22</f>
        <v>2358792565.21</v>
      </c>
      <c r="L85" s="466">
        <f>+'7-PlantInService'!L22</f>
        <v>2642141558.3200002</v>
      </c>
      <c r="M85" s="466">
        <f>+'7-PlantInService'!M22</f>
        <v>525077514.57999998</v>
      </c>
      <c r="N85" s="466">
        <f>+'7-PlantInService'!N22</f>
        <v>282075843.24000001</v>
      </c>
      <c r="O85" s="466">
        <f>+'7-PlantInService'!O22</f>
        <v>179507572.26999998</v>
      </c>
      <c r="P85" s="33">
        <f t="shared" si="1"/>
        <v>15522044546.41</v>
      </c>
      <c r="Q85" s="131">
        <f t="shared" si="2"/>
        <v>609</v>
      </c>
    </row>
    <row r="86" spans="1:17">
      <c r="A86" s="131">
        <f t="shared" si="3"/>
        <v>610</v>
      </c>
      <c r="B86" s="150" t="s">
        <v>123</v>
      </c>
      <c r="C86" s="156">
        <f>'1-BaseTRR'!$F$2</f>
        <v>2022</v>
      </c>
      <c r="D86" s="466">
        <f>+'7-PlantInService'!D23</f>
        <v>94929933.239999995</v>
      </c>
      <c r="E86" s="466">
        <f>+'7-PlantInService'!E23</f>
        <v>211585818.49000001</v>
      </c>
      <c r="F86" s="466">
        <f>+'7-PlantInService'!F23</f>
        <v>364060320.79000002</v>
      </c>
      <c r="G86" s="466">
        <f>+'7-PlantInService'!G23</f>
        <v>121499387.96000001</v>
      </c>
      <c r="H86" s="466">
        <f>+'7-PlantInService'!H23</f>
        <v>7672256593.1199999</v>
      </c>
      <c r="I86" s="466">
        <f>+'7-PlantInService'!I23</f>
        <v>35989559.25</v>
      </c>
      <c r="J86" s="466">
        <f>+'7-PlantInService'!J23</f>
        <v>1049103390.5599999</v>
      </c>
      <c r="K86" s="466">
        <f>+'7-PlantInService'!K23</f>
        <v>2376039948.6599998</v>
      </c>
      <c r="L86" s="466">
        <f>+'7-PlantInService'!L23</f>
        <v>2681525513.3200002</v>
      </c>
      <c r="M86" s="466">
        <f>+'7-PlantInService'!M23</f>
        <v>525074846.71000004</v>
      </c>
      <c r="N86" s="466">
        <f>+'7-PlantInService'!N23</f>
        <v>282021366.25999999</v>
      </c>
      <c r="O86" s="466">
        <f>+'7-PlantInService'!O23</f>
        <v>179834493.15000001</v>
      </c>
      <c r="P86" s="33">
        <f t="shared" si="1"/>
        <v>15593921171.509998</v>
      </c>
      <c r="Q86" s="131">
        <f t="shared" si="2"/>
        <v>610</v>
      </c>
    </row>
    <row r="87" spans="1:17">
      <c r="A87" s="131">
        <f t="shared" si="3"/>
        <v>611</v>
      </c>
      <c r="B87" s="150" t="s">
        <v>113</v>
      </c>
      <c r="C87" s="156">
        <f>'1-BaseTRR'!$F$2</f>
        <v>2022</v>
      </c>
      <c r="D87" s="466">
        <f>+'7-PlantInService'!D24</f>
        <v>94304454.074713677</v>
      </c>
      <c r="E87" s="466">
        <f>+'7-PlantInService'!E24</f>
        <v>211069954.12782389</v>
      </c>
      <c r="F87" s="466">
        <f>+'7-PlantInService'!F24</f>
        <v>363199302.32501286</v>
      </c>
      <c r="G87" s="466">
        <f>+'7-PlantInService'!G24</f>
        <v>125371515.78386503</v>
      </c>
      <c r="H87" s="466">
        <f>+'7-PlantInService'!H24</f>
        <v>7706774272.0488892</v>
      </c>
      <c r="I87" s="466">
        <f>+'7-PlantInService'!I24</f>
        <v>35989561.586312369</v>
      </c>
      <c r="J87" s="466">
        <f>+'7-PlantInService'!J24</f>
        <v>1062242405.8880787</v>
      </c>
      <c r="K87" s="466">
        <f>+'7-PlantInService'!K24</f>
        <v>2381845833.3490334</v>
      </c>
      <c r="L87" s="466">
        <f>+'7-PlantInService'!L24</f>
        <v>2686127973.6737804</v>
      </c>
      <c r="M87" s="466">
        <f>+'7-PlantInService'!M24</f>
        <v>523695481.2628119</v>
      </c>
      <c r="N87" s="466">
        <f>+'7-PlantInService'!N24</f>
        <v>281894975.36176646</v>
      </c>
      <c r="O87" s="466">
        <f>+'7-PlantInService'!O24</f>
        <v>186139561.6063633</v>
      </c>
      <c r="P87" s="466">
        <f t="shared" si="1"/>
        <v>15658655291.088451</v>
      </c>
      <c r="Q87" s="131">
        <f t="shared" si="2"/>
        <v>611</v>
      </c>
    </row>
    <row r="88" spans="1:17" ht="13.5" customHeight="1">
      <c r="A88" s="131"/>
      <c r="B88" s="1"/>
      <c r="C88" s="169"/>
      <c r="D88" s="227"/>
      <c r="E88" s="227"/>
      <c r="F88" s="227"/>
      <c r="G88" s="227"/>
      <c r="H88" s="227"/>
      <c r="I88" s="227"/>
      <c r="J88" s="227"/>
      <c r="K88" s="227"/>
      <c r="L88" s="227"/>
      <c r="M88" s="227"/>
      <c r="N88" s="227"/>
      <c r="O88" s="227"/>
      <c r="P88" s="227"/>
      <c r="Q88" s="131"/>
    </row>
    <row r="89" spans="1:17" ht="13.5" customHeight="1">
      <c r="A89" s="27"/>
      <c r="B89" s="17"/>
      <c r="C89" s="17"/>
      <c r="D89" s="17"/>
      <c r="E89" s="17"/>
      <c r="F89" s="17"/>
      <c r="G89" s="17"/>
      <c r="H89" s="17"/>
      <c r="I89" s="17"/>
      <c r="J89" s="17"/>
      <c r="K89" s="17"/>
      <c r="L89" s="17"/>
    </row>
    <row r="90" spans="1:17" ht="13.5" customHeight="1">
      <c r="B90" s="228" t="s">
        <v>450</v>
      </c>
      <c r="C90" s="144"/>
      <c r="D90" s="144"/>
      <c r="E90" s="144"/>
      <c r="F90" s="144"/>
      <c r="G90" s="144"/>
      <c r="H90" s="144"/>
      <c r="I90" s="144"/>
      <c r="J90" s="144"/>
      <c r="K90" s="144"/>
      <c r="L90" s="144"/>
      <c r="M90" s="54"/>
      <c r="N90" s="54"/>
      <c r="O90" s="54"/>
      <c r="P90" s="54"/>
    </row>
    <row r="91" spans="1:17">
      <c r="B91" s="150" t="s">
        <v>1069</v>
      </c>
    </row>
    <row r="92" spans="1:17">
      <c r="B92" s="150" t="s">
        <v>451</v>
      </c>
    </row>
    <row r="93" spans="1:17">
      <c r="B93" s="150"/>
    </row>
    <row r="94" spans="1:17">
      <c r="D94" s="122" t="s">
        <v>100</v>
      </c>
      <c r="E94" s="122" t="s">
        <v>101</v>
      </c>
      <c r="F94" s="122" t="s">
        <v>102</v>
      </c>
      <c r="G94" s="122" t="s">
        <v>103</v>
      </c>
      <c r="H94" s="122" t="s">
        <v>104</v>
      </c>
      <c r="I94" s="122" t="s">
        <v>105</v>
      </c>
      <c r="J94" s="122" t="s">
        <v>106</v>
      </c>
      <c r="K94" s="122" t="s">
        <v>107</v>
      </c>
      <c r="L94" s="122" t="s">
        <v>108</v>
      </c>
      <c r="M94" s="122" t="s">
        <v>271</v>
      </c>
      <c r="N94" s="122" t="s">
        <v>272</v>
      </c>
      <c r="O94" s="122" t="s">
        <v>273</v>
      </c>
    </row>
    <row r="95" spans="1:17" ht="29">
      <c r="D95" s="153" t="s">
        <v>218</v>
      </c>
      <c r="E95" s="153" t="s">
        <v>219</v>
      </c>
      <c r="F95" s="153" t="s">
        <v>1070</v>
      </c>
      <c r="G95" s="153" t="s">
        <v>1071</v>
      </c>
      <c r="H95" s="153" t="s">
        <v>1072</v>
      </c>
      <c r="I95" s="153" t="s">
        <v>1073</v>
      </c>
      <c r="J95" s="153" t="s">
        <v>1074</v>
      </c>
      <c r="K95" s="153" t="s">
        <v>1075</v>
      </c>
      <c r="L95" s="153" t="s">
        <v>1076</v>
      </c>
      <c r="M95" s="153" t="s">
        <v>1077</v>
      </c>
      <c r="N95" s="153" t="s">
        <v>1078</v>
      </c>
      <c r="O95" s="153" t="s">
        <v>1079</v>
      </c>
      <c r="P95" s="162"/>
    </row>
    <row r="96" spans="1:17">
      <c r="A96" s="131"/>
    </row>
    <row r="97" spans="1:17">
      <c r="A97" s="119" t="s">
        <v>124</v>
      </c>
      <c r="B97" s="17"/>
      <c r="D97" s="122" t="s">
        <v>349</v>
      </c>
      <c r="E97" s="122" t="s">
        <v>350</v>
      </c>
      <c r="F97" s="122" t="s">
        <v>351</v>
      </c>
      <c r="G97" s="122" t="s">
        <v>352</v>
      </c>
      <c r="H97" s="122" t="s">
        <v>353</v>
      </c>
      <c r="I97" s="122" t="s">
        <v>354</v>
      </c>
      <c r="J97" s="122" t="s">
        <v>355</v>
      </c>
      <c r="K97" s="122" t="s">
        <v>356</v>
      </c>
      <c r="L97" s="122" t="s">
        <v>357</v>
      </c>
      <c r="M97" s="122" t="s">
        <v>358</v>
      </c>
      <c r="N97" s="122" t="s">
        <v>359</v>
      </c>
      <c r="O97" s="122" t="s">
        <v>360</v>
      </c>
      <c r="Q97" s="119" t="str">
        <f>A97</f>
        <v>Line</v>
      </c>
    </row>
    <row r="98" spans="1:17">
      <c r="A98" s="131">
        <v>700</v>
      </c>
      <c r="B98" t="s">
        <v>452</v>
      </c>
      <c r="D98" s="229">
        <v>0</v>
      </c>
      <c r="E98" s="229">
        <f>'12-DepRates'!O21</f>
        <v>1.83E-2</v>
      </c>
      <c r="F98" s="229">
        <f>VLOOKUP(F97,'12-DepRates'!$D:$N,11,FALSE)</f>
        <v>1.6299999999999999E-2</v>
      </c>
      <c r="G98" s="229">
        <f>VLOOKUP(G97,'12-DepRates'!$D:$N,11,FALSE)</f>
        <v>1.7139999999999999E-2</v>
      </c>
      <c r="H98" s="229">
        <f>VLOOKUP(H97,'12-DepRates'!$D:$N,11,FALSE)</f>
        <v>3.1309999999999998E-2</v>
      </c>
      <c r="I98" s="229">
        <f>VLOOKUP(I97,'12-DepRates'!$D:$N,11,FALSE)</f>
        <v>1.661E-2</v>
      </c>
      <c r="J98" s="229">
        <f>VLOOKUP(J97,'12-DepRates'!$D:$N,11,FALSE)</f>
        <v>2.299E-2</v>
      </c>
      <c r="K98" s="229">
        <f>VLOOKUP(K97,'12-DepRates'!$D:$N,11,FALSE)</f>
        <v>3.1559999999999998E-2</v>
      </c>
      <c r="L98" s="229">
        <f>VLOOKUP(L97,'12-DepRates'!$D:$N,11,FALSE)</f>
        <v>2.724E-2</v>
      </c>
      <c r="M98" s="229">
        <f>VLOOKUP(M97,'12-DepRates'!$D:$N,11,FALSE)</f>
        <v>1.529E-2</v>
      </c>
      <c r="N98" s="229">
        <f>VLOOKUP(N97,'12-DepRates'!$D:$N,11,FALSE)</f>
        <v>1.9900000000000001E-2</v>
      </c>
      <c r="O98" s="229">
        <f>VLOOKUP(O97,'12-DepRates'!$D:$N,11,FALSE)</f>
        <v>1.8620000000000001E-2</v>
      </c>
      <c r="Q98" s="131">
        <f>Q87+1</f>
        <v>612</v>
      </c>
    </row>
    <row r="99" spans="1:17">
      <c r="A99" s="27"/>
      <c r="B99" s="27"/>
      <c r="C99" s="17"/>
      <c r="D99" s="17"/>
      <c r="E99" s="17"/>
      <c r="F99" s="17"/>
      <c r="G99" s="17"/>
      <c r="H99" s="17"/>
      <c r="I99" s="17"/>
      <c r="J99" s="17"/>
      <c r="K99" s="17"/>
      <c r="L99" s="17"/>
    </row>
    <row r="100" spans="1:17">
      <c r="A100" s="27"/>
      <c r="B100" s="27"/>
      <c r="C100" s="17"/>
      <c r="D100" s="17"/>
      <c r="E100" s="17"/>
      <c r="F100" s="17"/>
      <c r="G100" s="17"/>
      <c r="H100" s="17"/>
      <c r="I100" s="17"/>
      <c r="J100" s="17"/>
      <c r="K100" s="17"/>
      <c r="L100" s="17"/>
    </row>
    <row r="101" spans="1:17">
      <c r="B101" s="57" t="s">
        <v>453</v>
      </c>
      <c r="C101" s="144"/>
      <c r="D101" s="144"/>
      <c r="E101" s="144"/>
      <c r="F101" s="144"/>
      <c r="G101" s="144"/>
      <c r="H101" s="144"/>
      <c r="I101" s="144"/>
      <c r="J101" s="144"/>
      <c r="K101" s="144"/>
      <c r="L101" s="144"/>
      <c r="M101" s="54"/>
      <c r="N101" s="54"/>
      <c r="O101" s="54"/>
      <c r="P101" s="54"/>
    </row>
    <row r="102" spans="1:17">
      <c r="B102" t="s">
        <v>454</v>
      </c>
    </row>
    <row r="104" spans="1:17">
      <c r="A104" s="8"/>
      <c r="D104" s="122" t="s">
        <v>100</v>
      </c>
      <c r="E104" s="122" t="s">
        <v>101</v>
      </c>
      <c r="F104" s="122" t="s">
        <v>102</v>
      </c>
      <c r="G104" s="122" t="s">
        <v>103</v>
      </c>
      <c r="H104" s="122" t="s">
        <v>104</v>
      </c>
      <c r="I104" s="122" t="s">
        <v>105</v>
      </c>
      <c r="J104" s="122" t="s">
        <v>106</v>
      </c>
      <c r="K104" s="122" t="s">
        <v>107</v>
      </c>
      <c r="L104" s="122" t="s">
        <v>108</v>
      </c>
      <c r="M104" s="122" t="s">
        <v>271</v>
      </c>
      <c r="N104" s="122" t="s">
        <v>272</v>
      </c>
      <c r="O104" s="122" t="s">
        <v>273</v>
      </c>
      <c r="P104" s="13" t="s">
        <v>274</v>
      </c>
    </row>
    <row r="105" spans="1:17" ht="29">
      <c r="B105" s="131"/>
      <c r="C105" s="131"/>
      <c r="D105" s="153" t="s">
        <v>455</v>
      </c>
      <c r="E105" s="153" t="s">
        <v>455</v>
      </c>
      <c r="F105" s="153" t="s">
        <v>455</v>
      </c>
      <c r="G105" s="153" t="s">
        <v>455</v>
      </c>
      <c r="H105" s="153" t="s">
        <v>455</v>
      </c>
      <c r="I105" s="153" t="s">
        <v>455</v>
      </c>
      <c r="J105" s="153" t="s">
        <v>455</v>
      </c>
      <c r="K105" s="153" t="s">
        <v>455</v>
      </c>
      <c r="L105" s="153" t="s">
        <v>455</v>
      </c>
      <c r="M105" s="153" t="s">
        <v>455</v>
      </c>
      <c r="N105" s="153" t="s">
        <v>455</v>
      </c>
      <c r="O105" s="153" t="s">
        <v>455</v>
      </c>
      <c r="P105" s="153" t="s">
        <v>1168</v>
      </c>
    </row>
    <row r="106" spans="1:17">
      <c r="B106" s="131"/>
      <c r="C106" s="131"/>
      <c r="D106" s="122"/>
      <c r="E106" s="122"/>
      <c r="P106" s="30"/>
    </row>
    <row r="107" spans="1:17">
      <c r="B107" s="15" t="s">
        <v>348</v>
      </c>
      <c r="C107" s="15"/>
      <c r="D107" s="123">
        <v>350.01</v>
      </c>
      <c r="E107" s="123">
        <v>350.02</v>
      </c>
      <c r="F107" s="123">
        <v>352.01</v>
      </c>
      <c r="G107" s="123">
        <v>352.02</v>
      </c>
      <c r="H107" s="123">
        <v>353.01</v>
      </c>
      <c r="I107" s="123">
        <v>353.02</v>
      </c>
      <c r="J107" s="123">
        <v>354</v>
      </c>
      <c r="K107" s="123">
        <v>355</v>
      </c>
      <c r="L107" s="123">
        <v>356</v>
      </c>
      <c r="M107" s="123">
        <v>357</v>
      </c>
      <c r="N107" s="123">
        <v>358</v>
      </c>
      <c r="O107" s="123">
        <v>359</v>
      </c>
      <c r="P107" s="30"/>
    </row>
    <row r="108" spans="1:17" s="142" customFormat="1">
      <c r="A108" s="119" t="s">
        <v>124</v>
      </c>
      <c r="B108" s="119" t="s">
        <v>82</v>
      </c>
      <c r="C108" s="119" t="s">
        <v>111</v>
      </c>
      <c r="D108" s="122" t="s">
        <v>349</v>
      </c>
      <c r="E108" s="122" t="s">
        <v>350</v>
      </c>
      <c r="F108" s="122" t="s">
        <v>351</v>
      </c>
      <c r="G108" s="122" t="s">
        <v>352</v>
      </c>
      <c r="H108" s="122" t="s">
        <v>353</v>
      </c>
      <c r="I108" s="122" t="s">
        <v>354</v>
      </c>
      <c r="J108" s="122" t="s">
        <v>355</v>
      </c>
      <c r="K108" s="122" t="s">
        <v>356</v>
      </c>
      <c r="L108" s="122" t="s">
        <v>357</v>
      </c>
      <c r="M108" s="122" t="s">
        <v>358</v>
      </c>
      <c r="N108" s="122" t="s">
        <v>359</v>
      </c>
      <c r="O108" s="122" t="s">
        <v>360</v>
      </c>
      <c r="P108" s="119" t="s">
        <v>361</v>
      </c>
      <c r="Q108" s="119" t="str">
        <f>A108</f>
        <v>Line</v>
      </c>
    </row>
    <row r="109" spans="1:17">
      <c r="A109" s="131"/>
      <c r="B109" s="150"/>
      <c r="C109" s="150"/>
      <c r="D109" s="230"/>
      <c r="E109" s="231"/>
      <c r="F109" s="232"/>
      <c r="G109" s="230"/>
      <c r="H109" s="230"/>
      <c r="I109" s="230"/>
      <c r="J109" s="230"/>
      <c r="K109" s="230"/>
      <c r="L109" s="230"/>
      <c r="M109" s="230"/>
      <c r="N109" s="232"/>
      <c r="O109" s="232"/>
      <c r="P109" s="158"/>
    </row>
    <row r="110" spans="1:17">
      <c r="A110" s="131">
        <v>800</v>
      </c>
      <c r="B110" s="150" t="s">
        <v>114</v>
      </c>
      <c r="C110" s="156">
        <f>'1-BaseTRR'!$F$2</f>
        <v>2022</v>
      </c>
      <c r="D110" s="484">
        <f t="shared" ref="D110:O121" si="4">+D$98*D76/12</f>
        <v>0</v>
      </c>
      <c r="E110" s="485">
        <f t="shared" si="4"/>
        <v>320619.62468100007</v>
      </c>
      <c r="F110" s="484">
        <f t="shared" si="4"/>
        <v>494404.54927199992</v>
      </c>
      <c r="G110" s="484">
        <f t="shared" si="4"/>
        <v>155648.0212817</v>
      </c>
      <c r="H110" s="484">
        <f t="shared" si="4"/>
        <v>19663631.119342353</v>
      </c>
      <c r="I110" s="484">
        <f t="shared" si="4"/>
        <v>49818.165817933339</v>
      </c>
      <c r="J110" s="484">
        <f t="shared" si="4"/>
        <v>1996548.4525019003</v>
      </c>
      <c r="K110" s="484">
        <f t="shared" si="4"/>
        <v>5815036.4958798997</v>
      </c>
      <c r="L110" s="484">
        <f t="shared" si="4"/>
        <v>5416824.0142893</v>
      </c>
      <c r="M110" s="484">
        <f t="shared" si="4"/>
        <v>662642.11197350826</v>
      </c>
      <c r="N110" s="484">
        <f t="shared" si="4"/>
        <v>468960.85626591666</v>
      </c>
      <c r="O110" s="484">
        <f t="shared" si="4"/>
        <v>257497.57446163334</v>
      </c>
      <c r="P110" s="33">
        <f t="shared" ref="P110:P121" si="5">SUM(D110:O110)</f>
        <v>35301630.985767148</v>
      </c>
      <c r="Q110" s="131">
        <f t="shared" ref="Q110:Q122" si="6">A110</f>
        <v>800</v>
      </c>
    </row>
    <row r="111" spans="1:17">
      <c r="A111" s="131">
        <f t="shared" ref="A111:A122" si="7">A110+1</f>
        <v>801</v>
      </c>
      <c r="B111" s="150" t="s">
        <v>115</v>
      </c>
      <c r="C111" s="156">
        <f>'1-BaseTRR'!$F$2</f>
        <v>2022</v>
      </c>
      <c r="D111" s="484">
        <f t="shared" si="4"/>
        <v>0</v>
      </c>
      <c r="E111" s="484">
        <f t="shared" si="4"/>
        <v>320909.97688825004</v>
      </c>
      <c r="F111" s="484">
        <f t="shared" si="4"/>
        <v>493185.22422674997</v>
      </c>
      <c r="G111" s="484">
        <f t="shared" si="4"/>
        <v>155664.85370440001</v>
      </c>
      <c r="H111" s="484">
        <f t="shared" si="4"/>
        <v>19700880.459094774</v>
      </c>
      <c r="I111" s="484">
        <f t="shared" si="4"/>
        <v>49819.416412516679</v>
      </c>
      <c r="J111" s="484">
        <f t="shared" si="4"/>
        <v>1978281.4740952083</v>
      </c>
      <c r="K111" s="484">
        <f t="shared" si="4"/>
        <v>5859922.1652044998</v>
      </c>
      <c r="L111" s="484">
        <f t="shared" si="4"/>
        <v>5495495.0217035003</v>
      </c>
      <c r="M111" s="484">
        <f t="shared" si="4"/>
        <v>662704.35999716667</v>
      </c>
      <c r="N111" s="484">
        <f t="shared" si="4"/>
        <v>468962.17913500004</v>
      </c>
      <c r="O111" s="484">
        <f t="shared" si="4"/>
        <v>257882.44017923332</v>
      </c>
      <c r="P111" s="33">
        <f t="shared" si="5"/>
        <v>35443707.570641309</v>
      </c>
      <c r="Q111" s="131">
        <f t="shared" si="6"/>
        <v>801</v>
      </c>
    </row>
    <row r="112" spans="1:17">
      <c r="A112" s="131">
        <f t="shared" si="7"/>
        <v>802</v>
      </c>
      <c r="B112" s="150" t="s">
        <v>116</v>
      </c>
      <c r="C112" s="156">
        <f>'1-BaseTRR'!$F$2</f>
        <v>2022</v>
      </c>
      <c r="D112" s="484">
        <f t="shared" si="4"/>
        <v>0</v>
      </c>
      <c r="E112" s="484">
        <f t="shared" si="4"/>
        <v>321319.09028525004</v>
      </c>
      <c r="F112" s="484">
        <f t="shared" si="4"/>
        <v>493759.92987125</v>
      </c>
      <c r="G112" s="484">
        <f t="shared" si="4"/>
        <v>155877.18989484999</v>
      </c>
      <c r="H112" s="484">
        <f t="shared" si="4"/>
        <v>19724956.134689633</v>
      </c>
      <c r="I112" s="484">
        <f t="shared" si="4"/>
        <v>49819.414225533321</v>
      </c>
      <c r="J112" s="484">
        <f t="shared" si="4"/>
        <v>1986908.4764231083</v>
      </c>
      <c r="K112" s="484">
        <f t="shared" si="4"/>
        <v>5877996.6088959994</v>
      </c>
      <c r="L112" s="484">
        <f t="shared" si="4"/>
        <v>5473572.9237131998</v>
      </c>
      <c r="M112" s="484">
        <f t="shared" si="4"/>
        <v>662778.78999704157</v>
      </c>
      <c r="N112" s="484">
        <f t="shared" si="4"/>
        <v>469304.18622308341</v>
      </c>
      <c r="O112" s="484">
        <f t="shared" si="4"/>
        <v>261146.05318468332</v>
      </c>
      <c r="P112" s="33">
        <f t="shared" si="5"/>
        <v>35477438.797403626</v>
      </c>
      <c r="Q112" s="131">
        <f t="shared" si="6"/>
        <v>802</v>
      </c>
    </row>
    <row r="113" spans="1:17">
      <c r="A113" s="131">
        <f t="shared" si="7"/>
        <v>803</v>
      </c>
      <c r="B113" s="150" t="s">
        <v>117</v>
      </c>
      <c r="C113" s="156">
        <f>'1-BaseTRR'!$F$2</f>
        <v>2022</v>
      </c>
      <c r="D113" s="484">
        <f t="shared" si="4"/>
        <v>0</v>
      </c>
      <c r="E113" s="484">
        <f t="shared" si="4"/>
        <v>321679.56315149995</v>
      </c>
      <c r="F113" s="484">
        <f t="shared" si="4"/>
        <v>494202.69110433321</v>
      </c>
      <c r="G113" s="484">
        <f t="shared" si="4"/>
        <v>157183.89483153334</v>
      </c>
      <c r="H113" s="484">
        <f t="shared" si="4"/>
        <v>19808328.671381615</v>
      </c>
      <c r="I113" s="484">
        <f t="shared" si="4"/>
        <v>49793.518377350003</v>
      </c>
      <c r="J113" s="484">
        <f t="shared" si="4"/>
        <v>1982218.4773592667</v>
      </c>
      <c r="K113" s="484">
        <f t="shared" si="4"/>
        <v>5936940.445124899</v>
      </c>
      <c r="L113" s="484">
        <f t="shared" si="4"/>
        <v>5562518.5474790996</v>
      </c>
      <c r="M113" s="484">
        <f t="shared" si="4"/>
        <v>666095.93485554156</v>
      </c>
      <c r="N113" s="484">
        <f t="shared" si="4"/>
        <v>468372.46082691668</v>
      </c>
      <c r="O113" s="484">
        <f t="shared" si="4"/>
        <v>262666.45347320003</v>
      </c>
      <c r="P113" s="33">
        <f t="shared" si="5"/>
        <v>35710000.657965258</v>
      </c>
      <c r="Q113" s="131">
        <f t="shared" si="6"/>
        <v>803</v>
      </c>
    </row>
    <row r="114" spans="1:17" s="142" customFormat="1">
      <c r="A114" s="131">
        <f t="shared" si="7"/>
        <v>804</v>
      </c>
      <c r="B114" s="150" t="s">
        <v>90</v>
      </c>
      <c r="C114" s="156">
        <f>'1-BaseTRR'!$F$2</f>
        <v>2022</v>
      </c>
      <c r="D114" s="484">
        <f t="shared" si="4"/>
        <v>0</v>
      </c>
      <c r="E114" s="484">
        <f t="shared" si="4"/>
        <v>321895.06132849999</v>
      </c>
      <c r="F114" s="484">
        <f t="shared" si="4"/>
        <v>494498.62204608327</v>
      </c>
      <c r="G114" s="484">
        <f t="shared" si="4"/>
        <v>158252.1346476</v>
      </c>
      <c r="H114" s="484">
        <f t="shared" si="4"/>
        <v>19874455.794523958</v>
      </c>
      <c r="I114" s="484">
        <f t="shared" si="4"/>
        <v>49793.522059233335</v>
      </c>
      <c r="J114" s="484">
        <f t="shared" si="4"/>
        <v>1958591.8001541833</v>
      </c>
      <c r="K114" s="484">
        <f t="shared" si="4"/>
        <v>5968288.7875377992</v>
      </c>
      <c r="L114" s="484">
        <f t="shared" si="4"/>
        <v>5689715.9047661005</v>
      </c>
      <c r="M114" s="484">
        <f t="shared" si="4"/>
        <v>665876.02448106662</v>
      </c>
      <c r="N114" s="484">
        <f t="shared" si="4"/>
        <v>468507.65126133332</v>
      </c>
      <c r="O114" s="484">
        <f t="shared" si="4"/>
        <v>263630.14254348335</v>
      </c>
      <c r="P114" s="33">
        <f t="shared" si="5"/>
        <v>35913505.445349328</v>
      </c>
      <c r="Q114" s="131">
        <f t="shared" si="6"/>
        <v>804</v>
      </c>
    </row>
    <row r="115" spans="1:17">
      <c r="A115" s="131">
        <f t="shared" si="7"/>
        <v>805</v>
      </c>
      <c r="B115" s="150" t="s">
        <v>277</v>
      </c>
      <c r="C115" s="156">
        <f>'1-BaseTRR'!$F$2</f>
        <v>2022</v>
      </c>
      <c r="D115" s="484">
        <f t="shared" si="4"/>
        <v>0</v>
      </c>
      <c r="E115" s="484">
        <f t="shared" si="4"/>
        <v>321977.08636625001</v>
      </c>
      <c r="F115" s="484">
        <f t="shared" si="4"/>
        <v>493863.89535983332</v>
      </c>
      <c r="G115" s="484">
        <f t="shared" si="4"/>
        <v>161097.68113936667</v>
      </c>
      <c r="H115" s="484">
        <f t="shared" si="4"/>
        <v>19843022.54002152</v>
      </c>
      <c r="I115" s="484">
        <f t="shared" si="4"/>
        <v>49793.535734799989</v>
      </c>
      <c r="J115" s="484">
        <f t="shared" si="4"/>
        <v>1960513.4836187083</v>
      </c>
      <c r="K115" s="484">
        <f t="shared" si="4"/>
        <v>6015390.0681185992</v>
      </c>
      <c r="L115" s="484">
        <f t="shared" si="4"/>
        <v>5744822.0038173003</v>
      </c>
      <c r="M115" s="484">
        <f t="shared" si="4"/>
        <v>668896.93810188328</v>
      </c>
      <c r="N115" s="484">
        <f t="shared" si="4"/>
        <v>468836.1963145</v>
      </c>
      <c r="O115" s="484">
        <f t="shared" si="4"/>
        <v>265432.40931970003</v>
      </c>
      <c r="P115" s="33">
        <f t="shared" si="5"/>
        <v>35993645.837912455</v>
      </c>
      <c r="Q115" s="131">
        <f t="shared" si="6"/>
        <v>805</v>
      </c>
    </row>
    <row r="116" spans="1:17">
      <c r="A116" s="131">
        <f t="shared" si="7"/>
        <v>806</v>
      </c>
      <c r="B116" s="150" t="s">
        <v>119</v>
      </c>
      <c r="C116" s="156">
        <f>'1-BaseTRR'!$F$2</f>
        <v>2022</v>
      </c>
      <c r="D116" s="484">
        <f t="shared" si="4"/>
        <v>0</v>
      </c>
      <c r="E116" s="484">
        <f t="shared" si="4"/>
        <v>322128.21017575002</v>
      </c>
      <c r="F116" s="484">
        <f t="shared" si="4"/>
        <v>494061.75756891654</v>
      </c>
      <c r="G116" s="484">
        <f t="shared" si="4"/>
        <v>162864.99289545001</v>
      </c>
      <c r="H116" s="484">
        <f t="shared" si="4"/>
        <v>19860775.785776962</v>
      </c>
      <c r="I116" s="484">
        <f t="shared" si="4"/>
        <v>49815.520024874997</v>
      </c>
      <c r="J116" s="484">
        <f t="shared" si="4"/>
        <v>1964631.0930850084</v>
      </c>
      <c r="K116" s="484">
        <f t="shared" si="4"/>
        <v>6054687.7182413004</v>
      </c>
      <c r="L116" s="484">
        <f t="shared" si="4"/>
        <v>5820478.3825412989</v>
      </c>
      <c r="M116" s="484">
        <f t="shared" si="4"/>
        <v>668878.1934920249</v>
      </c>
      <c r="N116" s="484">
        <f t="shared" si="4"/>
        <v>469471.45759675</v>
      </c>
      <c r="O116" s="484">
        <f t="shared" si="4"/>
        <v>266079.23627950001</v>
      </c>
      <c r="P116" s="33">
        <f t="shared" si="5"/>
        <v>36133872.347677842</v>
      </c>
      <c r="Q116" s="131">
        <f t="shared" si="6"/>
        <v>806</v>
      </c>
    </row>
    <row r="117" spans="1:17">
      <c r="A117" s="131">
        <f t="shared" si="7"/>
        <v>807</v>
      </c>
      <c r="B117" s="150" t="s">
        <v>120</v>
      </c>
      <c r="C117" s="156">
        <f>'1-BaseTRR'!$F$2</f>
        <v>2022</v>
      </c>
      <c r="D117" s="484">
        <f t="shared" si="4"/>
        <v>0</v>
      </c>
      <c r="E117" s="484">
        <f t="shared" si="4"/>
        <v>322269.36891849997</v>
      </c>
      <c r="F117" s="484">
        <f t="shared" si="4"/>
        <v>493961.4862036666</v>
      </c>
      <c r="G117" s="484">
        <f t="shared" si="4"/>
        <v>164193.06769846668</v>
      </c>
      <c r="H117" s="484">
        <f t="shared" si="4"/>
        <v>19977211.625615206</v>
      </c>
      <c r="I117" s="484">
        <f t="shared" si="4"/>
        <v>49815.534088008339</v>
      </c>
      <c r="J117" s="484">
        <f t="shared" si="4"/>
        <v>1966302.2359167917</v>
      </c>
      <c r="K117" s="484">
        <f t="shared" si="4"/>
        <v>6092699.2396624004</v>
      </c>
      <c r="L117" s="484">
        <f t="shared" si="4"/>
        <v>5910670.4979473995</v>
      </c>
      <c r="M117" s="484">
        <f t="shared" si="4"/>
        <v>668975.94995412498</v>
      </c>
      <c r="N117" s="484">
        <f t="shared" si="4"/>
        <v>470341.64519475005</v>
      </c>
      <c r="O117" s="484">
        <f t="shared" si="4"/>
        <v>267967.58662076667</v>
      </c>
      <c r="P117" s="33">
        <f t="shared" si="5"/>
        <v>36384408.237820074</v>
      </c>
      <c r="Q117" s="131">
        <f t="shared" si="6"/>
        <v>807</v>
      </c>
    </row>
    <row r="118" spans="1:17">
      <c r="A118" s="131">
        <f t="shared" si="7"/>
        <v>808</v>
      </c>
      <c r="B118" s="150" t="s">
        <v>121</v>
      </c>
      <c r="C118" s="156">
        <f>'1-BaseTRR'!$F$2</f>
        <v>2022</v>
      </c>
      <c r="D118" s="484">
        <f t="shared" si="4"/>
        <v>0</v>
      </c>
      <c r="E118" s="484">
        <f t="shared" si="4"/>
        <v>322507.3348595</v>
      </c>
      <c r="F118" s="484">
        <f t="shared" si="4"/>
        <v>494277.43978016661</v>
      </c>
      <c r="G118" s="484">
        <f t="shared" si="4"/>
        <v>173157.54968336664</v>
      </c>
      <c r="H118" s="484">
        <f t="shared" si="4"/>
        <v>20031668.353183184</v>
      </c>
      <c r="I118" s="484">
        <f t="shared" si="4"/>
        <v>49815.538849541677</v>
      </c>
      <c r="J118" s="484">
        <f t="shared" si="4"/>
        <v>1954939.8037668585</v>
      </c>
      <c r="K118" s="484">
        <f t="shared" si="4"/>
        <v>6136488.5028835004</v>
      </c>
      <c r="L118" s="484">
        <f t="shared" si="4"/>
        <v>5968984.2732533999</v>
      </c>
      <c r="M118" s="484">
        <f t="shared" si="4"/>
        <v>669004.04571137496</v>
      </c>
      <c r="N118" s="484">
        <f t="shared" si="4"/>
        <v>467725.70891983336</v>
      </c>
      <c r="O118" s="484">
        <f t="shared" si="4"/>
        <v>271944.4087945667</v>
      </c>
      <c r="P118" s="33">
        <f t="shared" si="5"/>
        <v>36540512.959685288</v>
      </c>
      <c r="Q118" s="131">
        <f t="shared" si="6"/>
        <v>808</v>
      </c>
    </row>
    <row r="119" spans="1:17">
      <c r="A119" s="131">
        <f t="shared" si="7"/>
        <v>809</v>
      </c>
      <c r="B119" s="150" t="s">
        <v>122</v>
      </c>
      <c r="C119" s="156">
        <f>'1-BaseTRR'!$F$2</f>
        <v>2022</v>
      </c>
      <c r="D119" s="484">
        <f t="shared" si="4"/>
        <v>0</v>
      </c>
      <c r="E119" s="484">
        <f t="shared" si="4"/>
        <v>322634.04387650004</v>
      </c>
      <c r="F119" s="484">
        <f t="shared" si="4"/>
        <v>494328.40549274994</v>
      </c>
      <c r="G119" s="484">
        <f t="shared" si="4"/>
        <v>171207.15278941666</v>
      </c>
      <c r="H119" s="484">
        <f t="shared" si="4"/>
        <v>20027896.404033665</v>
      </c>
      <c r="I119" s="484">
        <f t="shared" si="4"/>
        <v>49815.542835941662</v>
      </c>
      <c r="J119" s="484">
        <f t="shared" si="4"/>
        <v>1977669.2187839581</v>
      </c>
      <c r="K119" s="484">
        <f t="shared" si="4"/>
        <v>6203624.446502299</v>
      </c>
      <c r="L119" s="484">
        <f t="shared" si="4"/>
        <v>5997661.3373864004</v>
      </c>
      <c r="M119" s="484">
        <f t="shared" si="4"/>
        <v>669036.26649401663</v>
      </c>
      <c r="N119" s="484">
        <f t="shared" si="4"/>
        <v>467775.77337300003</v>
      </c>
      <c r="O119" s="484">
        <f t="shared" si="4"/>
        <v>278535.91630561667</v>
      </c>
      <c r="P119" s="33">
        <f t="shared" si="5"/>
        <v>36660184.507873565</v>
      </c>
      <c r="Q119" s="131">
        <f t="shared" si="6"/>
        <v>809</v>
      </c>
    </row>
    <row r="120" spans="1:17">
      <c r="A120" s="131">
        <f t="shared" si="7"/>
        <v>810</v>
      </c>
      <c r="B120" s="150" t="s">
        <v>123</v>
      </c>
      <c r="C120" s="156">
        <f>'1-BaseTRR'!$F$2</f>
        <v>2022</v>
      </c>
      <c r="D120" s="484">
        <f t="shared" si="4"/>
        <v>0</v>
      </c>
      <c r="E120" s="484">
        <f t="shared" si="4"/>
        <v>322668.37319725001</v>
      </c>
      <c r="F120" s="484">
        <f t="shared" si="4"/>
        <v>494515.2690730833</v>
      </c>
      <c r="G120" s="484">
        <f t="shared" si="4"/>
        <v>173541.62580286668</v>
      </c>
      <c r="H120" s="484">
        <f t="shared" si="4"/>
        <v>20018196.160882264</v>
      </c>
      <c r="I120" s="484">
        <f t="shared" si="4"/>
        <v>49815.548261874996</v>
      </c>
      <c r="J120" s="484">
        <f t="shared" si="4"/>
        <v>2009907.2457478663</v>
      </c>
      <c r="K120" s="484">
        <f t="shared" si="4"/>
        <v>6248985.0649757991</v>
      </c>
      <c r="L120" s="484">
        <f t="shared" si="4"/>
        <v>6087062.9152364014</v>
      </c>
      <c r="M120" s="484">
        <f t="shared" si="4"/>
        <v>669032.8671829917</v>
      </c>
      <c r="N120" s="484">
        <f t="shared" si="4"/>
        <v>467685.43238116667</v>
      </c>
      <c r="O120" s="484">
        <f t="shared" si="4"/>
        <v>279043.18853775004</v>
      </c>
      <c r="P120" s="33">
        <f t="shared" si="5"/>
        <v>36820453.691279314</v>
      </c>
      <c r="Q120" s="131">
        <f t="shared" si="6"/>
        <v>810</v>
      </c>
    </row>
    <row r="121" spans="1:17">
      <c r="A121" s="131">
        <f t="shared" si="7"/>
        <v>811</v>
      </c>
      <c r="B121" s="159" t="s">
        <v>113</v>
      </c>
      <c r="C121" s="160">
        <f>'1-BaseTRR'!$F$2</f>
        <v>2022</v>
      </c>
      <c r="D121" s="470">
        <f t="shared" si="4"/>
        <v>0</v>
      </c>
      <c r="E121" s="470">
        <f t="shared" si="4"/>
        <v>321881.68004493142</v>
      </c>
      <c r="F121" s="470">
        <f t="shared" si="4"/>
        <v>493345.7189914757</v>
      </c>
      <c r="G121" s="470">
        <f t="shared" si="4"/>
        <v>179072.31504462054</v>
      </c>
      <c r="H121" s="470">
        <f t="shared" si="4"/>
        <v>20108258.538154226</v>
      </c>
      <c r="I121" s="470">
        <f t="shared" si="4"/>
        <v>49815.551495720698</v>
      </c>
      <c r="J121" s="470">
        <f t="shared" si="4"/>
        <v>2035079.4092805774</v>
      </c>
      <c r="K121" s="470">
        <f t="shared" si="4"/>
        <v>6264254.5417079581</v>
      </c>
      <c r="L121" s="470">
        <f t="shared" si="4"/>
        <v>6097510.5002394812</v>
      </c>
      <c r="M121" s="470">
        <f t="shared" si="4"/>
        <v>667275.32570903283</v>
      </c>
      <c r="N121" s="470">
        <f t="shared" si="4"/>
        <v>467475.83414159605</v>
      </c>
      <c r="O121" s="470">
        <f t="shared" si="4"/>
        <v>288826.55309254042</v>
      </c>
      <c r="P121" s="470">
        <f t="shared" si="5"/>
        <v>36972795.967902154</v>
      </c>
      <c r="Q121" s="131">
        <f t="shared" si="6"/>
        <v>811</v>
      </c>
    </row>
    <row r="122" spans="1:17">
      <c r="A122" s="131">
        <f t="shared" si="7"/>
        <v>812</v>
      </c>
      <c r="B122" s="169" t="s">
        <v>361</v>
      </c>
      <c r="C122" s="169"/>
      <c r="D122" s="490">
        <f>SUM(D110:D121)</f>
        <v>0</v>
      </c>
      <c r="E122" s="490">
        <f t="shared" ref="E122:P122" si="8">SUM(E110:E121)</f>
        <v>3862489.4137731814</v>
      </c>
      <c r="F122" s="490">
        <f t="shared" si="8"/>
        <v>5928404.9889903087</v>
      </c>
      <c r="G122" s="490">
        <f t="shared" si="8"/>
        <v>1967760.4794136372</v>
      </c>
      <c r="H122" s="490">
        <f t="shared" si="8"/>
        <v>238639281.58669934</v>
      </c>
      <c r="I122" s="490">
        <f t="shared" si="8"/>
        <v>597730.80818332906</v>
      </c>
      <c r="J122" s="490">
        <f t="shared" si="8"/>
        <v>23771591.170733437</v>
      </c>
      <c r="K122" s="490">
        <f t="shared" si="8"/>
        <v>72474314.084734961</v>
      </c>
      <c r="L122" s="490">
        <f t="shared" si="8"/>
        <v>69265316.322372884</v>
      </c>
      <c r="M122" s="490">
        <f t="shared" si="8"/>
        <v>8001196.807949774</v>
      </c>
      <c r="N122" s="490">
        <f t="shared" si="8"/>
        <v>5623419.381633847</v>
      </c>
      <c r="O122" s="490">
        <f t="shared" si="8"/>
        <v>3220651.9627926731</v>
      </c>
      <c r="P122" s="490">
        <f t="shared" si="8"/>
        <v>433352157.00727737</v>
      </c>
      <c r="Q122" s="131">
        <f t="shared" si="6"/>
        <v>812</v>
      </c>
    </row>
    <row r="123" spans="1:17">
      <c r="A123" s="27"/>
      <c r="B123" s="17"/>
      <c r="C123" s="17"/>
      <c r="D123" s="17"/>
      <c r="E123" s="17"/>
      <c r="F123" s="17"/>
      <c r="G123" s="17"/>
      <c r="H123" s="17"/>
      <c r="I123" s="17"/>
      <c r="J123" s="17"/>
      <c r="K123" s="17"/>
      <c r="L123" s="17"/>
    </row>
    <row r="124" spans="1:17">
      <c r="A124" s="27"/>
      <c r="B124" s="17"/>
      <c r="C124" s="17"/>
      <c r="D124" s="17"/>
      <c r="E124" s="17"/>
      <c r="F124" s="17"/>
      <c r="G124" s="17"/>
      <c r="H124" s="17"/>
      <c r="I124" s="17"/>
      <c r="J124" s="17"/>
      <c r="K124" s="17"/>
      <c r="L124" s="17"/>
    </row>
    <row r="125" spans="1:17">
      <c r="B125" s="118" t="s">
        <v>456</v>
      </c>
      <c r="C125" s="144"/>
      <c r="D125" s="144"/>
      <c r="E125" s="144"/>
      <c r="F125" s="144"/>
      <c r="G125" s="144"/>
      <c r="H125" s="144"/>
      <c r="I125" s="144"/>
      <c r="J125" s="144"/>
      <c r="K125" s="144"/>
      <c r="L125" s="144"/>
      <c r="M125" s="54"/>
      <c r="N125" s="54"/>
      <c r="O125" s="54"/>
      <c r="P125" s="54"/>
    </row>
    <row r="126" spans="1:17">
      <c r="B126" t="s">
        <v>457</v>
      </c>
    </row>
    <row r="128" spans="1:17">
      <c r="A128" s="119" t="s">
        <v>124</v>
      </c>
      <c r="B128" s="17"/>
      <c r="C128" s="17"/>
      <c r="D128" s="17"/>
      <c r="E128" s="17"/>
      <c r="F128" s="17"/>
      <c r="G128" s="17"/>
      <c r="H128" s="17"/>
      <c r="I128" s="17"/>
      <c r="J128" s="17"/>
      <c r="K128" s="17"/>
      <c r="L128" s="17"/>
      <c r="Q128" s="119" t="str">
        <f>A128</f>
        <v>Line</v>
      </c>
    </row>
    <row r="129" spans="1:17">
      <c r="A129" s="131">
        <v>900</v>
      </c>
      <c r="B129" s="4" t="s">
        <v>458</v>
      </c>
      <c r="C129" s="17"/>
      <c r="D129" s="17"/>
      <c r="F129" s="424">
        <f>+P122</f>
        <v>433352157.00727737</v>
      </c>
      <c r="G129" s="17" t="s">
        <v>1171</v>
      </c>
      <c r="H129" s="17"/>
      <c r="I129" s="17"/>
      <c r="J129" s="17"/>
      <c r="K129" s="17"/>
      <c r="L129" s="17"/>
      <c r="Q129" s="131">
        <f t="shared" ref="Q129:Q131" si="9">A129</f>
        <v>900</v>
      </c>
    </row>
    <row r="130" spans="1:17">
      <c r="A130" s="131">
        <f>+A129+1</f>
        <v>901</v>
      </c>
      <c r="B130" s="233" t="s">
        <v>459</v>
      </c>
      <c r="C130" s="221"/>
      <c r="D130" s="221"/>
      <c r="E130" s="234"/>
      <c r="F130" s="486">
        <f>+O15</f>
        <v>432288531.10536373</v>
      </c>
      <c r="G130" s="17" t="s">
        <v>1172</v>
      </c>
      <c r="H130" s="17"/>
      <c r="I130" s="17"/>
      <c r="J130" s="17"/>
      <c r="K130" s="17"/>
      <c r="L130" s="17"/>
      <c r="Q130" s="131">
        <f t="shared" si="9"/>
        <v>901</v>
      </c>
    </row>
    <row r="131" spans="1:17">
      <c r="A131" s="131">
        <f>+A130+1</f>
        <v>902</v>
      </c>
      <c r="B131" s="12" t="s">
        <v>460</v>
      </c>
      <c r="E131" s="17"/>
      <c r="F131" s="353">
        <f>+F129-F130</f>
        <v>1063625.9019136429</v>
      </c>
      <c r="G131" s="17" t="s">
        <v>1080</v>
      </c>
      <c r="H131" s="12"/>
      <c r="I131" s="12"/>
      <c r="J131" s="12"/>
      <c r="K131" s="12"/>
      <c r="L131" s="142"/>
      <c r="M131" s="8"/>
      <c r="N131" s="142"/>
      <c r="O131" s="142"/>
      <c r="P131" s="142"/>
      <c r="Q131" s="131">
        <f t="shared" si="9"/>
        <v>902</v>
      </c>
    </row>
    <row r="132" spans="1:17">
      <c r="B132" s="131"/>
      <c r="C132" s="122"/>
      <c r="D132" s="122"/>
    </row>
    <row r="133" spans="1:17">
      <c r="B133" s="131"/>
      <c r="C133" s="122"/>
      <c r="D133" s="122"/>
    </row>
    <row r="134" spans="1:17">
      <c r="B134" s="16" t="s">
        <v>127</v>
      </c>
      <c r="C134" s="122"/>
      <c r="D134" s="122"/>
    </row>
    <row r="135" spans="1:17">
      <c r="B135" s="818" t="s">
        <v>1894</v>
      </c>
      <c r="C135" s="818"/>
      <c r="D135" s="818"/>
      <c r="E135" s="818"/>
      <c r="F135" s="818"/>
      <c r="G135" s="818"/>
      <c r="H135" s="818"/>
      <c r="I135" s="818"/>
      <c r="J135" s="818"/>
      <c r="K135" s="818"/>
      <c r="L135" s="818"/>
      <c r="M135" s="818"/>
      <c r="N135" s="818"/>
      <c r="O135" s="818"/>
      <c r="P135" s="818"/>
    </row>
    <row r="136" spans="1:17">
      <c r="B136" s="818" t="s">
        <v>1908</v>
      </c>
      <c r="C136" s="818"/>
      <c r="D136" s="818"/>
      <c r="E136" s="818"/>
      <c r="F136" s="818"/>
      <c r="G136" s="818"/>
      <c r="H136" s="818"/>
      <c r="I136" s="818"/>
      <c r="J136" s="818"/>
      <c r="K136" s="818"/>
      <c r="L136" s="818"/>
      <c r="M136" s="818"/>
      <c r="N136" s="818"/>
      <c r="O136" s="818"/>
      <c r="P136" s="818"/>
    </row>
    <row r="137" spans="1:17">
      <c r="B137" s="818" t="s">
        <v>1895</v>
      </c>
      <c r="C137" s="818"/>
      <c r="D137" s="818"/>
      <c r="E137" s="818"/>
      <c r="F137" s="818"/>
      <c r="G137" s="818"/>
      <c r="H137" s="818"/>
      <c r="I137" s="818"/>
      <c r="J137" s="818"/>
      <c r="K137" s="818"/>
      <c r="L137" s="818"/>
      <c r="M137" s="818"/>
      <c r="N137" s="818"/>
      <c r="O137" s="818"/>
      <c r="P137" s="818"/>
    </row>
    <row r="138" spans="1:17">
      <c r="B138" s="818" t="s">
        <v>1877</v>
      </c>
      <c r="C138" s="818"/>
      <c r="D138" s="818"/>
      <c r="E138" s="818"/>
      <c r="F138" s="818"/>
      <c r="G138" s="818"/>
      <c r="H138" s="818"/>
      <c r="I138" s="818"/>
      <c r="J138" s="818"/>
      <c r="K138" s="818"/>
      <c r="L138" s="818"/>
      <c r="M138" s="818"/>
      <c r="N138" s="818"/>
      <c r="O138" s="818"/>
      <c r="P138" s="818"/>
    </row>
    <row r="139" spans="1:17">
      <c r="B139" s="818" t="s">
        <v>1878</v>
      </c>
      <c r="C139" s="818"/>
      <c r="D139" s="818"/>
      <c r="E139" s="818"/>
      <c r="F139" s="818"/>
      <c r="G139" s="818"/>
      <c r="H139" s="818"/>
      <c r="I139" s="818"/>
      <c r="J139" s="818"/>
      <c r="K139" s="818"/>
      <c r="L139" s="818"/>
      <c r="M139" s="818"/>
      <c r="N139" s="818"/>
      <c r="O139" s="818"/>
      <c r="P139" s="818"/>
    </row>
    <row r="140" spans="1:17">
      <c r="B140" s="818" t="s">
        <v>1167</v>
      </c>
      <c r="C140" s="818"/>
      <c r="D140" s="818"/>
      <c r="E140" s="818"/>
      <c r="F140" s="818"/>
      <c r="G140" s="818"/>
      <c r="H140" s="818"/>
      <c r="I140" s="818"/>
      <c r="J140" s="818"/>
      <c r="K140" s="818"/>
      <c r="L140" s="818"/>
      <c r="M140" s="818"/>
      <c r="N140" s="818"/>
      <c r="O140" s="818"/>
      <c r="P140" s="818"/>
    </row>
  </sheetData>
  <mergeCells count="7">
    <mergeCell ref="B139:P139"/>
    <mergeCell ref="B140:P140"/>
    <mergeCell ref="B64:P64"/>
    <mergeCell ref="B135:P135"/>
    <mergeCell ref="B136:P136"/>
    <mergeCell ref="B137:P137"/>
    <mergeCell ref="B138:P138"/>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66" max="16383" man="1"/>
  </rowBreaks>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82"/>
  <sheetViews>
    <sheetView tabSelected="1" view="pageBreakPreview" topLeftCell="A33" zoomScale="55" zoomScaleNormal="70" zoomScaleSheetLayoutView="55" zoomScalePageLayoutView="55" workbookViewId="0">
      <selection activeCell="P108" sqref="P108"/>
    </sheetView>
  </sheetViews>
  <sheetFormatPr defaultColWidth="8.81640625" defaultRowHeight="14.5"/>
  <cols>
    <col min="1" max="1" width="6.7265625" style="8" bestFit="1" customWidth="1"/>
    <col min="2" max="2" width="8.81640625" customWidth="1"/>
    <col min="3" max="3" width="13" style="6" customWidth="1"/>
    <col min="4" max="4" width="13" customWidth="1"/>
    <col min="5" max="5" width="66.1796875" bestFit="1" customWidth="1"/>
    <col min="6" max="6" width="18.26953125" customWidth="1"/>
    <col min="7" max="7" width="7.7265625" customWidth="1"/>
    <col min="8" max="8" width="21.54296875" bestFit="1" customWidth="1"/>
    <col min="9" max="9" width="17.26953125" customWidth="1"/>
    <col min="10" max="10" width="21.7265625" bestFit="1" customWidth="1"/>
    <col min="11" max="11" width="10" customWidth="1"/>
    <col min="12" max="12" width="13" customWidth="1"/>
    <col min="13" max="14" width="16.7265625" customWidth="1"/>
    <col min="15" max="15" width="10.54296875" customWidth="1"/>
    <col min="16" max="16" width="11" customWidth="1"/>
    <col min="17" max="17" width="6.7265625" bestFit="1" customWidth="1"/>
    <col min="18" max="18" width="14.453125" customWidth="1"/>
  </cols>
  <sheetData>
    <row r="1" spans="1:17">
      <c r="B1" s="142" t="s">
        <v>1497</v>
      </c>
      <c r="P1" s="15" t="str">
        <f>CONCATENATE("Rate Year: ",'1-BaseTRR'!$F$1)</f>
        <v>Rate Year: 2024</v>
      </c>
    </row>
    <row r="2" spans="1:17">
      <c r="B2" s="142"/>
    </row>
    <row r="3" spans="1:17">
      <c r="B3" s="57" t="s">
        <v>1688</v>
      </c>
      <c r="C3" s="53"/>
      <c r="D3" s="57"/>
      <c r="E3" s="54"/>
      <c r="F3" s="54"/>
      <c r="G3" s="54"/>
      <c r="H3" s="54"/>
      <c r="I3" s="54"/>
      <c r="J3" s="54"/>
      <c r="K3" s="54"/>
      <c r="L3" s="54"/>
      <c r="M3" s="54"/>
      <c r="N3" s="54"/>
      <c r="O3" s="54"/>
      <c r="P3" s="54"/>
    </row>
    <row r="4" spans="1:17">
      <c r="B4" s="12"/>
      <c r="D4" s="12"/>
    </row>
    <row r="5" spans="1:17">
      <c r="B5" s="8"/>
      <c r="C5" s="8"/>
      <c r="D5" s="8"/>
      <c r="E5" s="30"/>
      <c r="F5" s="685" t="s">
        <v>100</v>
      </c>
      <c r="G5" s="685" t="s">
        <v>101</v>
      </c>
      <c r="H5" s="685" t="s">
        <v>102</v>
      </c>
      <c r="I5" s="685" t="s">
        <v>103</v>
      </c>
      <c r="J5" s="685" t="s">
        <v>104</v>
      </c>
      <c r="K5" s="685" t="s">
        <v>105</v>
      </c>
      <c r="L5" s="685" t="s">
        <v>106</v>
      </c>
      <c r="M5" s="685" t="s">
        <v>107</v>
      </c>
      <c r="N5" s="685" t="s">
        <v>108</v>
      </c>
      <c r="O5" s="685" t="s">
        <v>271</v>
      </c>
      <c r="P5" s="685" t="s">
        <v>272</v>
      </c>
      <c r="Q5" s="30"/>
    </row>
    <row r="6" spans="1:17" s="223" customFormat="1" ht="29">
      <c r="A6" s="690"/>
      <c r="B6" s="690"/>
      <c r="C6" s="162"/>
      <c r="D6" s="690"/>
      <c r="E6" s="162"/>
      <c r="F6" s="153" t="s">
        <v>1689</v>
      </c>
      <c r="G6" s="162"/>
      <c r="H6" s="162" t="s">
        <v>1690</v>
      </c>
      <c r="I6" s="153" t="s">
        <v>1691</v>
      </c>
      <c r="J6" s="162" t="s">
        <v>1692</v>
      </c>
      <c r="K6" s="162"/>
      <c r="L6" s="162"/>
      <c r="M6" s="162" t="s">
        <v>1693</v>
      </c>
      <c r="N6" s="162"/>
      <c r="O6" s="162"/>
      <c r="P6" s="162"/>
      <c r="Q6" s="162"/>
    </row>
    <row r="7" spans="1:17">
      <c r="B7" s="12"/>
      <c r="D7" s="12"/>
    </row>
    <row r="8" spans="1:17">
      <c r="F8" s="8" t="s">
        <v>552</v>
      </c>
      <c r="G8" s="823" t="s">
        <v>575</v>
      </c>
      <c r="H8" s="823"/>
      <c r="I8" s="8" t="s">
        <v>551</v>
      </c>
      <c r="J8" s="8" t="s">
        <v>574</v>
      </c>
      <c r="K8" s="686" t="s">
        <v>573</v>
      </c>
      <c r="L8" s="8" t="s">
        <v>572</v>
      </c>
      <c r="M8" s="824" t="s">
        <v>571</v>
      </c>
      <c r="N8" s="824"/>
    </row>
    <row r="9" spans="1:17">
      <c r="A9" s="13" t="s">
        <v>124</v>
      </c>
      <c r="B9" s="13" t="s">
        <v>1694</v>
      </c>
      <c r="C9" s="13" t="s">
        <v>330</v>
      </c>
      <c r="D9" s="13" t="s">
        <v>419</v>
      </c>
      <c r="E9" s="13" t="s">
        <v>548</v>
      </c>
      <c r="F9" s="243" t="s">
        <v>550</v>
      </c>
      <c r="G9" s="243" t="s">
        <v>570</v>
      </c>
      <c r="H9" s="682" t="s">
        <v>566</v>
      </c>
      <c r="I9" s="243" t="s">
        <v>549</v>
      </c>
      <c r="J9" s="243" t="s">
        <v>569</v>
      </c>
      <c r="K9" s="687" t="s">
        <v>568</v>
      </c>
      <c r="L9" s="243" t="s">
        <v>567</v>
      </c>
      <c r="M9" s="243" t="s">
        <v>566</v>
      </c>
      <c r="N9" s="243" t="s">
        <v>565</v>
      </c>
      <c r="O9" s="243" t="s">
        <v>564</v>
      </c>
      <c r="P9" s="243" t="s">
        <v>563</v>
      </c>
      <c r="Q9" s="13" t="str">
        <f t="shared" ref="Q9:Q19" si="0">A9</f>
        <v>Line</v>
      </c>
    </row>
    <row r="10" spans="1:17">
      <c r="A10" s="8">
        <v>100</v>
      </c>
      <c r="B10" t="str">
        <f t="shared" ref="B10:B19" si="1">IF(RIGHT(E10,4)="CPUC","ETC","ETP")</f>
        <v>ETP</v>
      </c>
      <c r="C10" s="6">
        <v>352.01</v>
      </c>
      <c r="D10" t="str">
        <f t="shared" ref="D10:D19" si="2">IF(LEN(C10)&gt;=6,"ETP"&amp;LEFT(C10,3)&amp;RIGHT(C10,2),"ETP"&amp;LEFT(C10,3)&amp;"00")</f>
        <v>ETP35201</v>
      </c>
      <c r="E10" t="s">
        <v>481</v>
      </c>
      <c r="F10" s="488">
        <f>'7-PlantInService'!F$24</f>
        <v>363199302.32501286</v>
      </c>
      <c r="G10" s="242">
        <v>-20</v>
      </c>
      <c r="H10" s="471">
        <f t="shared" ref="H10:H19" si="3">+F10*G10/100</f>
        <v>-72639860.465002581</v>
      </c>
      <c r="I10" s="488">
        <f>'10-AccDep'!F$26</f>
        <v>117568898.20387341</v>
      </c>
      <c r="J10" s="471">
        <f t="shared" ref="J10:J19" si="4">+F10-H10-I10</f>
        <v>318270264.58614206</v>
      </c>
      <c r="K10" s="6" t="s">
        <v>1678</v>
      </c>
      <c r="L10" s="235">
        <v>57.45</v>
      </c>
      <c r="M10" s="471">
        <f t="shared" ref="M10:M19" si="5">N10*F10</f>
        <v>5920148.6278977087</v>
      </c>
      <c r="N10" s="29">
        <v>1.6299999999999999E-2</v>
      </c>
      <c r="O10" s="29">
        <v>1.325E-2</v>
      </c>
      <c r="P10" s="29">
        <v>3.0500000000000002E-3</v>
      </c>
      <c r="Q10" s="8">
        <f t="shared" si="0"/>
        <v>100</v>
      </c>
    </row>
    <row r="11" spans="1:17">
      <c r="A11" s="8">
        <f t="shared" ref="A11:A19" si="6">+A10+1</f>
        <v>101</v>
      </c>
      <c r="B11" t="str">
        <f t="shared" si="1"/>
        <v>ETP</v>
      </c>
      <c r="C11" s="6">
        <v>352.02</v>
      </c>
      <c r="D11" t="str">
        <f t="shared" si="2"/>
        <v>ETP35202</v>
      </c>
      <c r="E11" t="s">
        <v>562</v>
      </c>
      <c r="F11" s="488">
        <f>'7-PlantInService'!G$24</f>
        <v>125371515.78386503</v>
      </c>
      <c r="G11" s="242">
        <v>-20</v>
      </c>
      <c r="H11" s="471">
        <f>+F11*G11/100</f>
        <v>-25074303.156773005</v>
      </c>
      <c r="I11" s="488">
        <f>'10-AccDep'!G$26</f>
        <v>21404561.380631234</v>
      </c>
      <c r="J11" s="471">
        <f t="shared" si="4"/>
        <v>129041257.5600068</v>
      </c>
      <c r="K11" s="6" t="s">
        <v>1678</v>
      </c>
      <c r="L11" s="235">
        <v>63.8</v>
      </c>
      <c r="M11" s="471">
        <f t="shared" si="5"/>
        <v>2148867.7805354465</v>
      </c>
      <c r="N11" s="29">
        <v>1.7139999999999999E-2</v>
      </c>
      <c r="O11" s="29">
        <v>1.414E-2</v>
      </c>
      <c r="P11" s="29">
        <v>3.0000000000000001E-3</v>
      </c>
      <c r="Q11" s="8">
        <f t="shared" si="0"/>
        <v>101</v>
      </c>
    </row>
    <row r="12" spans="1:17">
      <c r="A12" s="8">
        <f t="shared" si="6"/>
        <v>102</v>
      </c>
      <c r="B12" t="str">
        <f t="shared" si="1"/>
        <v>ETP</v>
      </c>
      <c r="C12" s="6">
        <v>353.01</v>
      </c>
      <c r="D12" t="str">
        <f t="shared" si="2"/>
        <v>ETP35301</v>
      </c>
      <c r="E12" t="s">
        <v>561</v>
      </c>
      <c r="F12" s="488">
        <f>'7-PlantInService'!H$24</f>
        <v>7706774272.0488892</v>
      </c>
      <c r="G12" s="242">
        <v>-60</v>
      </c>
      <c r="H12" s="471">
        <f t="shared" si="3"/>
        <v>-4624064563.2293339</v>
      </c>
      <c r="I12" s="488">
        <f>'10-AccDep'!H$26</f>
        <v>1911313358.9848199</v>
      </c>
      <c r="J12" s="471">
        <f t="shared" si="4"/>
        <v>10419525476.293404</v>
      </c>
      <c r="K12" s="6" t="s">
        <v>1679</v>
      </c>
      <c r="L12" s="235">
        <v>37.869999999999997</v>
      </c>
      <c r="M12" s="471">
        <f t="shared" si="5"/>
        <v>241299102.45785069</v>
      </c>
      <c r="N12" s="29">
        <v>3.1309999999999998E-2</v>
      </c>
      <c r="O12" s="29">
        <v>2.128E-2</v>
      </c>
      <c r="P12" s="29">
        <v>1.0030000000000001E-2</v>
      </c>
      <c r="Q12" s="8">
        <f t="shared" si="0"/>
        <v>102</v>
      </c>
    </row>
    <row r="13" spans="1:17">
      <c r="A13" s="8">
        <f t="shared" si="6"/>
        <v>103</v>
      </c>
      <c r="B13" t="str">
        <f t="shared" si="1"/>
        <v>ETP</v>
      </c>
      <c r="C13" s="6">
        <v>353.02</v>
      </c>
      <c r="D13" t="str">
        <f t="shared" si="2"/>
        <v>ETP35302</v>
      </c>
      <c r="E13" t="s">
        <v>560</v>
      </c>
      <c r="F13" s="488">
        <f>'7-PlantInService'!I$24</f>
        <v>35989561.586312369</v>
      </c>
      <c r="G13" s="242">
        <v>-5</v>
      </c>
      <c r="H13" s="471">
        <f t="shared" si="3"/>
        <v>-1799478.0793156184</v>
      </c>
      <c r="I13" s="488">
        <f>'10-AccDep'!I$26</f>
        <v>17062249.820212372</v>
      </c>
      <c r="J13" s="471">
        <f t="shared" si="4"/>
        <v>20726789.845415615</v>
      </c>
      <c r="K13" s="6" t="s">
        <v>1680</v>
      </c>
      <c r="L13" s="235">
        <v>34.299999999999997</v>
      </c>
      <c r="M13" s="471">
        <f t="shared" si="5"/>
        <v>597786.6179486484</v>
      </c>
      <c r="N13" s="29">
        <v>1.661E-2</v>
      </c>
      <c r="O13" s="29">
        <v>1.5440000000000001E-2</v>
      </c>
      <c r="P13" s="29">
        <v>1.17E-3</v>
      </c>
      <c r="Q13" s="8">
        <f t="shared" si="0"/>
        <v>103</v>
      </c>
    </row>
    <row r="14" spans="1:17">
      <c r="A14" s="8">
        <f t="shared" si="6"/>
        <v>104</v>
      </c>
      <c r="B14" t="str">
        <f t="shared" si="1"/>
        <v>ETP</v>
      </c>
      <c r="C14" s="6">
        <v>354</v>
      </c>
      <c r="D14" t="str">
        <f t="shared" si="2"/>
        <v>ETP35400</v>
      </c>
      <c r="E14" t="s">
        <v>559</v>
      </c>
      <c r="F14" s="488">
        <f>'7-PlantInService'!J$24</f>
        <v>1062242405.8880787</v>
      </c>
      <c r="G14" s="242">
        <v>-100</v>
      </c>
      <c r="H14" s="471">
        <f t="shared" si="3"/>
        <v>-1062242405.8880786</v>
      </c>
      <c r="I14" s="488">
        <f>'10-AccDep'!J$26</f>
        <v>355281587.71733022</v>
      </c>
      <c r="J14" s="471">
        <f>+F14-H14-I14</f>
        <v>1769203224.0588272</v>
      </c>
      <c r="K14" s="6" t="s">
        <v>1681</v>
      </c>
      <c r="L14" s="235">
        <v>57.03</v>
      </c>
      <c r="M14" s="471">
        <f>N14*F14</f>
        <v>24420952.911366928</v>
      </c>
      <c r="N14" s="29">
        <v>2.299E-2</v>
      </c>
      <c r="O14" s="29">
        <v>1.188E-2</v>
      </c>
      <c r="P14" s="29">
        <v>1.111E-2</v>
      </c>
      <c r="Q14" s="8">
        <f t="shared" si="0"/>
        <v>104</v>
      </c>
    </row>
    <row r="15" spans="1:17">
      <c r="A15" s="8">
        <f t="shared" si="6"/>
        <v>105</v>
      </c>
      <c r="B15" t="str">
        <f t="shared" si="1"/>
        <v>ETP</v>
      </c>
      <c r="C15" s="6">
        <v>355</v>
      </c>
      <c r="D15" t="str">
        <f t="shared" si="2"/>
        <v>ETP35500</v>
      </c>
      <c r="E15" t="s">
        <v>558</v>
      </c>
      <c r="F15" s="488">
        <f>'7-PlantInService'!K$24</f>
        <v>2381845833.3490334</v>
      </c>
      <c r="G15" s="242">
        <v>-80</v>
      </c>
      <c r="H15" s="471">
        <f t="shared" si="3"/>
        <v>-1905476666.6792266</v>
      </c>
      <c r="I15" s="488">
        <f>'10-AccDep'!K$26</f>
        <v>461317046.56149071</v>
      </c>
      <c r="J15" s="471">
        <f t="shared" si="4"/>
        <v>3826005453.4667697</v>
      </c>
      <c r="K15" s="6" t="s">
        <v>1682</v>
      </c>
      <c r="L15" s="235">
        <v>46.49</v>
      </c>
      <c r="M15" s="471">
        <f t="shared" si="5"/>
        <v>75171054.500495493</v>
      </c>
      <c r="N15" s="29">
        <v>3.1559999999999998E-2</v>
      </c>
      <c r="O15" s="29">
        <v>1.7139999999999999E-2</v>
      </c>
      <c r="P15" s="29">
        <v>1.4420000000000001E-2</v>
      </c>
      <c r="Q15" s="8">
        <f t="shared" si="0"/>
        <v>105</v>
      </c>
    </row>
    <row r="16" spans="1:17">
      <c r="A16" s="8">
        <f t="shared" si="6"/>
        <v>106</v>
      </c>
      <c r="B16" t="str">
        <f t="shared" si="1"/>
        <v>ETP</v>
      </c>
      <c r="C16" s="6">
        <v>356</v>
      </c>
      <c r="D16" t="str">
        <f t="shared" si="2"/>
        <v>ETP35600</v>
      </c>
      <c r="E16" t="s">
        <v>557</v>
      </c>
      <c r="F16" s="488">
        <f>'7-PlantInService'!L$24</f>
        <v>2686127973.6737804</v>
      </c>
      <c r="G16" s="242">
        <v>-110</v>
      </c>
      <c r="H16" s="471">
        <f>+F16*G16/100</f>
        <v>-2954740771.0411587</v>
      </c>
      <c r="I16" s="488">
        <f>'10-AccDep'!L$26</f>
        <v>492520870.19000018</v>
      </c>
      <c r="J16" s="471">
        <f t="shared" si="4"/>
        <v>5148347874.5249386</v>
      </c>
      <c r="K16" s="6" t="s">
        <v>1683</v>
      </c>
      <c r="L16" s="235">
        <v>51.91</v>
      </c>
      <c r="M16" s="471">
        <f t="shared" si="5"/>
        <v>73170126.002873778</v>
      </c>
      <c r="N16" s="29">
        <v>2.724E-2</v>
      </c>
      <c r="O16" s="29">
        <v>1.3610000000000001E-2</v>
      </c>
      <c r="P16" s="29">
        <v>1.363E-2</v>
      </c>
      <c r="Q16" s="8">
        <f t="shared" si="0"/>
        <v>106</v>
      </c>
    </row>
    <row r="17" spans="1:17">
      <c r="A17" s="8">
        <f t="shared" si="6"/>
        <v>107</v>
      </c>
      <c r="B17" t="str">
        <f t="shared" si="1"/>
        <v>ETP</v>
      </c>
      <c r="C17" s="6">
        <v>357</v>
      </c>
      <c r="D17" t="str">
        <f t="shared" si="2"/>
        <v>ETP35700</v>
      </c>
      <c r="E17" t="s">
        <v>556</v>
      </c>
      <c r="F17" s="488">
        <f>'7-PlantInService'!M$24</f>
        <v>523695481.2628119</v>
      </c>
      <c r="G17" s="242">
        <v>0</v>
      </c>
      <c r="H17" s="471">
        <f t="shared" si="3"/>
        <v>0</v>
      </c>
      <c r="I17" s="488">
        <f>'10-AccDep'!M$26</f>
        <v>118165189.37856817</v>
      </c>
      <c r="J17" s="471">
        <f t="shared" si="4"/>
        <v>405530291.88424373</v>
      </c>
      <c r="K17" s="6" t="s">
        <v>1684</v>
      </c>
      <c r="L17" s="235">
        <v>54.8</v>
      </c>
      <c r="M17" s="471">
        <f t="shared" si="5"/>
        <v>8007303.9085083939</v>
      </c>
      <c r="N17" s="29">
        <v>1.529E-2</v>
      </c>
      <c r="O17" s="29">
        <v>1.524E-2</v>
      </c>
      <c r="P17" s="29">
        <v>5.0000000000000002E-5</v>
      </c>
      <c r="Q17" s="8">
        <f t="shared" si="0"/>
        <v>107</v>
      </c>
    </row>
    <row r="18" spans="1:17">
      <c r="A18" s="8">
        <f t="shared" si="6"/>
        <v>108</v>
      </c>
      <c r="B18" t="str">
        <f t="shared" si="1"/>
        <v>ETP</v>
      </c>
      <c r="C18" s="6">
        <v>358</v>
      </c>
      <c r="D18" t="str">
        <f t="shared" si="2"/>
        <v>ETP35800</v>
      </c>
      <c r="E18" t="s">
        <v>555</v>
      </c>
      <c r="F18" s="488">
        <f>'7-PlantInService'!N$24</f>
        <v>281894975.36176646</v>
      </c>
      <c r="G18" s="242">
        <v>-10</v>
      </c>
      <c r="H18" s="471">
        <f t="shared" si="3"/>
        <v>-28189497.536176644</v>
      </c>
      <c r="I18" s="488">
        <f>'10-AccDep'!N$26</f>
        <v>86487992.5917968</v>
      </c>
      <c r="J18" s="471">
        <f t="shared" si="4"/>
        <v>223596480.30614626</v>
      </c>
      <c r="K18" s="6" t="s">
        <v>1685</v>
      </c>
      <c r="L18" s="235">
        <v>43.69</v>
      </c>
      <c r="M18" s="471">
        <f t="shared" si="5"/>
        <v>5609710.0096991528</v>
      </c>
      <c r="N18" s="29">
        <v>1.9900000000000001E-2</v>
      </c>
      <c r="O18" s="29">
        <v>1.7639999999999999E-2</v>
      </c>
      <c r="P18" s="29">
        <v>2.2599999999999999E-3</v>
      </c>
      <c r="Q18" s="8">
        <f t="shared" si="0"/>
        <v>108</v>
      </c>
    </row>
    <row r="19" spans="1:17">
      <c r="A19" s="8">
        <f t="shared" si="6"/>
        <v>109</v>
      </c>
      <c r="B19" t="str">
        <f t="shared" si="1"/>
        <v>ETP</v>
      </c>
      <c r="C19" s="6">
        <v>359</v>
      </c>
      <c r="D19" t="str">
        <f t="shared" si="2"/>
        <v>ETP35900</v>
      </c>
      <c r="E19" t="s">
        <v>554</v>
      </c>
      <c r="F19" s="684">
        <f>'7-PlantInService'!O$24</f>
        <v>186139561.6063633</v>
      </c>
      <c r="G19" s="688">
        <v>-10</v>
      </c>
      <c r="H19" s="470">
        <f t="shared" si="3"/>
        <v>-18613956.160636328</v>
      </c>
      <c r="I19" s="684">
        <f>'10-AccDep'!O$26</f>
        <v>13340697.811998196</v>
      </c>
      <c r="J19" s="470">
        <f t="shared" si="4"/>
        <v>191412819.95500144</v>
      </c>
      <c r="K19" s="683" t="s">
        <v>1686</v>
      </c>
      <c r="L19" s="689">
        <v>52.76</v>
      </c>
      <c r="M19" s="470">
        <f t="shared" si="5"/>
        <v>3465918.6371104848</v>
      </c>
      <c r="N19" s="411">
        <v>1.8620000000000001E-2</v>
      </c>
      <c r="O19" s="411">
        <v>1.6459999999999999E-2</v>
      </c>
      <c r="P19" s="411">
        <v>2.16E-3</v>
      </c>
      <c r="Q19" s="8">
        <f t="shared" si="0"/>
        <v>109</v>
      </c>
    </row>
    <row r="20" spans="1:17">
      <c r="F20" s="484"/>
      <c r="G20" s="242"/>
      <c r="H20" s="489"/>
      <c r="I20" s="484"/>
      <c r="J20" s="489"/>
      <c r="L20" s="240"/>
      <c r="M20" s="489"/>
      <c r="N20" s="240"/>
    </row>
    <row r="21" spans="1:17">
      <c r="A21" s="8">
        <f>+A19+1</f>
        <v>110</v>
      </c>
      <c r="C21" s="14" t="s">
        <v>553</v>
      </c>
      <c r="D21" s="12"/>
      <c r="F21" s="487">
        <f>SUM(F10:F19)</f>
        <v>15353280882.885914</v>
      </c>
      <c r="G21" s="157"/>
      <c r="H21" s="487">
        <f>SUM(H10:H19)</f>
        <v>-10692841502.235703</v>
      </c>
      <c r="I21" s="487">
        <f>SUM(I10:I19)</f>
        <v>3594462452.6407208</v>
      </c>
      <c r="J21" s="487">
        <f>SUM(J10:J19)</f>
        <v>22451659932.480892</v>
      </c>
      <c r="K21" s="157"/>
      <c r="L21" s="157"/>
      <c r="M21" s="487">
        <f>SUM(M10:M19)</f>
        <v>439810971.45428675</v>
      </c>
      <c r="N21" s="239">
        <f>+M21/F21</f>
        <v>2.864605779110951E-2</v>
      </c>
      <c r="O21" s="28">
        <v>1.83E-2</v>
      </c>
      <c r="P21" s="28">
        <f>N21-O21</f>
        <v>1.034605779110951E-2</v>
      </c>
      <c r="Q21" s="8">
        <f>A21</f>
        <v>110</v>
      </c>
    </row>
    <row r="22" spans="1:17">
      <c r="C22" s="14"/>
      <c r="D22" s="12"/>
      <c r="F22" s="238"/>
      <c r="H22" s="237"/>
      <c r="I22" s="238"/>
      <c r="J22" s="237"/>
      <c r="L22" s="236"/>
      <c r="M22" s="237"/>
      <c r="O22" s="120" t="s">
        <v>421</v>
      </c>
      <c r="Q22" s="8"/>
    </row>
    <row r="24" spans="1:17">
      <c r="B24" s="57" t="s">
        <v>1687</v>
      </c>
      <c r="C24" s="53"/>
      <c r="D24" s="54"/>
      <c r="E24" s="54"/>
      <c r="F24" s="54"/>
      <c r="G24" s="54"/>
      <c r="H24" s="54"/>
      <c r="I24" s="54"/>
      <c r="J24" s="54"/>
      <c r="K24" s="54"/>
      <c r="L24" s="54"/>
      <c r="M24" s="54"/>
      <c r="N24" s="54"/>
      <c r="O24" s="54"/>
      <c r="P24" s="54"/>
    </row>
    <row r="26" spans="1:17">
      <c r="D26" s="8"/>
      <c r="F26" s="8" t="s">
        <v>1695</v>
      </c>
    </row>
    <row r="27" spans="1:17">
      <c r="A27" s="13" t="s">
        <v>124</v>
      </c>
      <c r="B27" s="13" t="s">
        <v>1694</v>
      </c>
      <c r="C27" s="13" t="s">
        <v>330</v>
      </c>
      <c r="D27" s="13" t="s">
        <v>419</v>
      </c>
      <c r="E27" s="13" t="s">
        <v>548</v>
      </c>
      <c r="F27" s="168" t="s">
        <v>1696</v>
      </c>
      <c r="Q27" s="13" t="str">
        <f t="shared" ref="Q27:Q74" si="7">A27</f>
        <v>Line</v>
      </c>
    </row>
    <row r="28" spans="1:17">
      <c r="A28" s="8">
        <v>200</v>
      </c>
      <c r="D28" t="s">
        <v>547</v>
      </c>
      <c r="E28" t="s">
        <v>546</v>
      </c>
      <c r="F28" s="235">
        <v>0</v>
      </c>
      <c r="Q28" s="8">
        <f t="shared" si="7"/>
        <v>200</v>
      </c>
    </row>
    <row r="29" spans="1:17">
      <c r="A29" s="8">
        <f t="shared" ref="A29:A76" si="8">A28+1</f>
        <v>201</v>
      </c>
      <c r="D29" t="s">
        <v>545</v>
      </c>
      <c r="E29" t="s">
        <v>544</v>
      </c>
      <c r="F29" s="235">
        <v>0</v>
      </c>
      <c r="Q29" s="8">
        <f t="shared" si="7"/>
        <v>201</v>
      </c>
    </row>
    <row r="30" spans="1:17">
      <c r="A30" s="8">
        <f t="shared" si="8"/>
        <v>202</v>
      </c>
      <c r="D30" t="s">
        <v>1863</v>
      </c>
      <c r="E30" t="s">
        <v>1864</v>
      </c>
      <c r="F30" s="235">
        <v>3.39</v>
      </c>
      <c r="Q30" s="8">
        <f t="shared" si="7"/>
        <v>202</v>
      </c>
    </row>
    <row r="31" spans="1:17">
      <c r="A31" s="8">
        <f t="shared" si="8"/>
        <v>203</v>
      </c>
      <c r="D31" t="s">
        <v>543</v>
      </c>
      <c r="E31" t="s">
        <v>542</v>
      </c>
      <c r="F31" s="235">
        <v>17.36</v>
      </c>
      <c r="Q31" s="8">
        <f t="shared" si="7"/>
        <v>203</v>
      </c>
    </row>
    <row r="32" spans="1:17">
      <c r="A32" s="8">
        <f t="shared" si="8"/>
        <v>204</v>
      </c>
      <c r="D32" t="s">
        <v>541</v>
      </c>
      <c r="E32" t="s">
        <v>540</v>
      </c>
      <c r="F32" s="235">
        <v>9.01</v>
      </c>
      <c r="Q32" s="8">
        <f t="shared" si="7"/>
        <v>204</v>
      </c>
    </row>
    <row r="33" spans="1:17">
      <c r="A33" s="8">
        <f t="shared" si="8"/>
        <v>205</v>
      </c>
      <c r="D33" t="s">
        <v>539</v>
      </c>
      <c r="E33" t="s">
        <v>538</v>
      </c>
      <c r="F33" s="235">
        <v>0</v>
      </c>
      <c r="Q33" s="8">
        <f t="shared" si="7"/>
        <v>205</v>
      </c>
    </row>
    <row r="34" spans="1:17">
      <c r="A34" s="8">
        <f t="shared" si="8"/>
        <v>206</v>
      </c>
      <c r="D34" t="s">
        <v>537</v>
      </c>
      <c r="E34" t="s">
        <v>483</v>
      </c>
      <c r="F34" s="235">
        <v>2.58</v>
      </c>
      <c r="Q34" s="8">
        <f t="shared" si="7"/>
        <v>206</v>
      </c>
    </row>
    <row r="35" spans="1:17">
      <c r="A35" s="8">
        <f t="shared" si="8"/>
        <v>207</v>
      </c>
      <c r="D35" t="s">
        <v>536</v>
      </c>
      <c r="E35" t="s">
        <v>481</v>
      </c>
      <c r="F35" s="235">
        <v>1.97</v>
      </c>
      <c r="Q35" s="8">
        <f t="shared" si="7"/>
        <v>207</v>
      </c>
    </row>
    <row r="36" spans="1:17">
      <c r="A36" s="8">
        <f t="shared" si="8"/>
        <v>208</v>
      </c>
      <c r="D36" t="s">
        <v>1865</v>
      </c>
      <c r="E36" t="s">
        <v>1866</v>
      </c>
      <c r="F36" s="235">
        <v>20</v>
      </c>
      <c r="Q36" s="8">
        <f t="shared" si="7"/>
        <v>208</v>
      </c>
    </row>
    <row r="37" spans="1:17">
      <c r="A37" s="8">
        <f t="shared" si="8"/>
        <v>209</v>
      </c>
      <c r="D37" t="s">
        <v>535</v>
      </c>
      <c r="E37" t="s">
        <v>534</v>
      </c>
      <c r="F37" s="235">
        <v>27.31</v>
      </c>
      <c r="Q37" s="8">
        <f t="shared" si="7"/>
        <v>209</v>
      </c>
    </row>
    <row r="38" spans="1:17">
      <c r="A38" s="8">
        <f t="shared" si="8"/>
        <v>210</v>
      </c>
      <c r="D38" t="s">
        <v>533</v>
      </c>
      <c r="E38" t="s">
        <v>532</v>
      </c>
      <c r="F38" s="235">
        <v>14.17</v>
      </c>
      <c r="Q38" s="8">
        <f t="shared" si="7"/>
        <v>210</v>
      </c>
    </row>
    <row r="39" spans="1:17">
      <c r="A39" s="8">
        <f t="shared" si="8"/>
        <v>211</v>
      </c>
      <c r="D39" t="s">
        <v>531</v>
      </c>
      <c r="E39" t="s">
        <v>479</v>
      </c>
      <c r="F39" s="235">
        <v>7.5</v>
      </c>
      <c r="Q39" s="8">
        <f t="shared" si="7"/>
        <v>211</v>
      </c>
    </row>
    <row r="40" spans="1:17">
      <c r="A40" s="8">
        <f t="shared" si="8"/>
        <v>212</v>
      </c>
      <c r="D40" t="s">
        <v>530</v>
      </c>
      <c r="E40" t="s">
        <v>529</v>
      </c>
      <c r="F40" s="235">
        <v>27.31</v>
      </c>
      <c r="Q40" s="8">
        <f t="shared" si="7"/>
        <v>212</v>
      </c>
    </row>
    <row r="41" spans="1:17">
      <c r="A41" s="8">
        <f t="shared" si="8"/>
        <v>213</v>
      </c>
      <c r="D41" t="s">
        <v>528</v>
      </c>
      <c r="E41" t="s">
        <v>527</v>
      </c>
      <c r="F41" s="235">
        <v>1.36</v>
      </c>
      <c r="Q41" s="8">
        <f t="shared" si="7"/>
        <v>213</v>
      </c>
    </row>
    <row r="42" spans="1:17">
      <c r="A42" s="8">
        <f t="shared" si="8"/>
        <v>214</v>
      </c>
      <c r="D42" t="s">
        <v>526</v>
      </c>
      <c r="E42" t="s">
        <v>525</v>
      </c>
      <c r="F42" s="235">
        <v>13.48</v>
      </c>
      <c r="Q42" s="8">
        <f t="shared" si="7"/>
        <v>214</v>
      </c>
    </row>
    <row r="43" spans="1:17">
      <c r="A43" s="8">
        <f t="shared" si="8"/>
        <v>215</v>
      </c>
      <c r="D43" t="s">
        <v>524</v>
      </c>
      <c r="E43" t="s">
        <v>523</v>
      </c>
      <c r="F43" s="235">
        <v>9.92</v>
      </c>
      <c r="Q43" s="8">
        <f t="shared" si="7"/>
        <v>215</v>
      </c>
    </row>
    <row r="44" spans="1:17">
      <c r="A44" s="8">
        <f t="shared" si="8"/>
        <v>216</v>
      </c>
      <c r="D44" t="s">
        <v>522</v>
      </c>
      <c r="E44" t="s">
        <v>521</v>
      </c>
      <c r="F44" s="235">
        <v>10.130000000000001</v>
      </c>
      <c r="Q44" s="8">
        <f t="shared" si="7"/>
        <v>216</v>
      </c>
    </row>
    <row r="45" spans="1:17">
      <c r="A45" s="8">
        <f t="shared" si="8"/>
        <v>217</v>
      </c>
      <c r="D45" t="s">
        <v>520</v>
      </c>
      <c r="E45" t="s">
        <v>519</v>
      </c>
      <c r="F45" s="235">
        <v>10.11</v>
      </c>
      <c r="Q45" s="8">
        <f t="shared" si="7"/>
        <v>217</v>
      </c>
    </row>
    <row r="46" spans="1:17">
      <c r="A46" s="8">
        <f t="shared" si="8"/>
        <v>218</v>
      </c>
      <c r="D46" t="s">
        <v>518</v>
      </c>
      <c r="E46" t="s">
        <v>517</v>
      </c>
      <c r="F46" s="235">
        <v>9.1</v>
      </c>
      <c r="Q46" s="8">
        <f t="shared" si="7"/>
        <v>218</v>
      </c>
    </row>
    <row r="47" spans="1:17">
      <c r="A47" s="8">
        <f t="shared" si="8"/>
        <v>219</v>
      </c>
      <c r="D47" t="s">
        <v>516</v>
      </c>
      <c r="E47" t="s">
        <v>515</v>
      </c>
      <c r="F47" s="235">
        <v>6.8199999999999994</v>
      </c>
      <c r="Q47" s="8">
        <f t="shared" si="7"/>
        <v>219</v>
      </c>
    </row>
    <row r="48" spans="1:17">
      <c r="A48" s="8">
        <f t="shared" si="8"/>
        <v>220</v>
      </c>
      <c r="D48" t="s">
        <v>514</v>
      </c>
      <c r="E48" t="s">
        <v>513</v>
      </c>
      <c r="F48" s="235">
        <v>4.1500000000000004</v>
      </c>
      <c r="Q48" s="8">
        <f t="shared" si="7"/>
        <v>220</v>
      </c>
    </row>
    <row r="49" spans="1:17">
      <c r="A49" s="8">
        <f t="shared" si="8"/>
        <v>221</v>
      </c>
      <c r="D49" t="s">
        <v>512</v>
      </c>
      <c r="E49" t="s">
        <v>511</v>
      </c>
      <c r="F49" s="235">
        <v>3.07</v>
      </c>
      <c r="Q49" s="8">
        <f t="shared" si="7"/>
        <v>221</v>
      </c>
    </row>
    <row r="50" spans="1:17">
      <c r="A50" s="8">
        <f t="shared" si="8"/>
        <v>222</v>
      </c>
      <c r="D50" t="s">
        <v>510</v>
      </c>
      <c r="E50" t="s">
        <v>509</v>
      </c>
      <c r="F50" s="235">
        <v>6.25</v>
      </c>
      <c r="Q50" s="8">
        <f t="shared" si="7"/>
        <v>222</v>
      </c>
    </row>
    <row r="51" spans="1:17">
      <c r="A51" s="8">
        <f t="shared" si="8"/>
        <v>223</v>
      </c>
      <c r="D51" t="s">
        <v>508</v>
      </c>
      <c r="E51" t="s">
        <v>507</v>
      </c>
      <c r="F51" s="235">
        <v>3.34</v>
      </c>
      <c r="Q51" s="8">
        <f t="shared" si="7"/>
        <v>223</v>
      </c>
    </row>
    <row r="52" spans="1:17">
      <c r="A52" s="8">
        <f t="shared" si="8"/>
        <v>224</v>
      </c>
      <c r="D52" t="s">
        <v>506</v>
      </c>
      <c r="E52" t="s">
        <v>475</v>
      </c>
      <c r="F52" s="235">
        <v>7.77</v>
      </c>
      <c r="Q52" s="8">
        <f t="shared" si="7"/>
        <v>224</v>
      </c>
    </row>
    <row r="53" spans="1:17">
      <c r="A53" s="8">
        <f t="shared" si="8"/>
        <v>225</v>
      </c>
      <c r="D53" t="s">
        <v>505</v>
      </c>
      <c r="E53" t="s">
        <v>473</v>
      </c>
      <c r="F53" s="235">
        <v>6.45</v>
      </c>
      <c r="Q53" s="8">
        <f t="shared" si="7"/>
        <v>225</v>
      </c>
    </row>
    <row r="54" spans="1:17">
      <c r="A54" s="8">
        <f t="shared" si="8"/>
        <v>226</v>
      </c>
      <c r="D54" t="s">
        <v>504</v>
      </c>
      <c r="E54" t="s">
        <v>503</v>
      </c>
      <c r="F54" s="235">
        <v>14.45</v>
      </c>
      <c r="Q54" s="8">
        <f t="shared" si="7"/>
        <v>226</v>
      </c>
    </row>
    <row r="55" spans="1:17">
      <c r="A55" s="8">
        <f t="shared" si="8"/>
        <v>227</v>
      </c>
      <c r="D55" t="s">
        <v>502</v>
      </c>
      <c r="E55" t="s">
        <v>501</v>
      </c>
      <c r="F55" s="235">
        <v>20.47</v>
      </c>
      <c r="Q55" s="8">
        <f t="shared" si="7"/>
        <v>227</v>
      </c>
    </row>
    <row r="56" spans="1:17">
      <c r="A56" s="8">
        <f t="shared" si="8"/>
        <v>228</v>
      </c>
      <c r="D56" t="s">
        <v>500</v>
      </c>
      <c r="E56" t="s">
        <v>499</v>
      </c>
      <c r="F56" s="235">
        <v>15.25</v>
      </c>
      <c r="Q56" s="8">
        <f t="shared" si="7"/>
        <v>228</v>
      </c>
    </row>
    <row r="57" spans="1:17">
      <c r="A57" s="8">
        <f t="shared" si="8"/>
        <v>229</v>
      </c>
      <c r="D57" t="s">
        <v>498</v>
      </c>
      <c r="E57" t="s">
        <v>497</v>
      </c>
      <c r="F57" s="235">
        <v>14.61</v>
      </c>
      <c r="Q57" s="8">
        <f t="shared" si="7"/>
        <v>229</v>
      </c>
    </row>
    <row r="58" spans="1:17">
      <c r="A58" s="8">
        <f t="shared" si="8"/>
        <v>230</v>
      </c>
      <c r="D58" t="s">
        <v>496</v>
      </c>
      <c r="E58" t="s">
        <v>495</v>
      </c>
      <c r="F58" s="235">
        <v>4.79</v>
      </c>
      <c r="Q58" s="8">
        <f t="shared" si="7"/>
        <v>230</v>
      </c>
    </row>
    <row r="59" spans="1:17">
      <c r="A59" s="8">
        <f t="shared" si="8"/>
        <v>231</v>
      </c>
      <c r="D59" t="s">
        <v>494</v>
      </c>
      <c r="E59" t="s">
        <v>493</v>
      </c>
      <c r="F59" s="235">
        <v>5.14</v>
      </c>
      <c r="Q59" s="8">
        <f t="shared" si="7"/>
        <v>231</v>
      </c>
    </row>
    <row r="60" spans="1:17">
      <c r="A60" s="8">
        <f t="shared" si="8"/>
        <v>232</v>
      </c>
      <c r="D60" t="s">
        <v>492</v>
      </c>
      <c r="E60" t="s">
        <v>491</v>
      </c>
      <c r="F60" s="235">
        <v>0.83</v>
      </c>
      <c r="Q60" s="8">
        <f t="shared" si="7"/>
        <v>232</v>
      </c>
    </row>
    <row r="61" spans="1:17">
      <c r="A61" s="8">
        <f t="shared" si="8"/>
        <v>233</v>
      </c>
      <c r="D61" t="s">
        <v>490</v>
      </c>
      <c r="E61" t="s">
        <v>469</v>
      </c>
      <c r="F61" s="235">
        <v>4.87</v>
      </c>
      <c r="Q61" s="8">
        <f t="shared" si="7"/>
        <v>233</v>
      </c>
    </row>
    <row r="62" spans="1:17">
      <c r="A62" s="8">
        <f t="shared" si="8"/>
        <v>234</v>
      </c>
      <c r="D62" t="s">
        <v>489</v>
      </c>
      <c r="E62" t="s">
        <v>467</v>
      </c>
      <c r="F62" s="235">
        <v>5.36</v>
      </c>
      <c r="Q62" s="8">
        <f t="shared" si="7"/>
        <v>234</v>
      </c>
    </row>
    <row r="63" spans="1:17">
      <c r="A63" s="8">
        <f t="shared" si="8"/>
        <v>235</v>
      </c>
      <c r="D63" t="s">
        <v>488</v>
      </c>
      <c r="E63" t="s">
        <v>487</v>
      </c>
      <c r="F63" s="235">
        <v>0.21</v>
      </c>
      <c r="Q63" s="8">
        <f t="shared" si="7"/>
        <v>235</v>
      </c>
    </row>
    <row r="64" spans="1:17">
      <c r="A64" s="8">
        <f t="shared" si="8"/>
        <v>236</v>
      </c>
      <c r="D64" t="s">
        <v>486</v>
      </c>
      <c r="E64" t="s">
        <v>485</v>
      </c>
      <c r="F64" s="235">
        <v>0</v>
      </c>
      <c r="Q64" s="8">
        <f t="shared" si="7"/>
        <v>236</v>
      </c>
    </row>
    <row r="65" spans="1:17">
      <c r="A65" s="8">
        <f t="shared" si="8"/>
        <v>237</v>
      </c>
      <c r="D65" t="s">
        <v>484</v>
      </c>
      <c r="E65" t="s">
        <v>483</v>
      </c>
      <c r="F65" s="235">
        <v>2.99</v>
      </c>
      <c r="Q65" s="8">
        <f t="shared" si="7"/>
        <v>237</v>
      </c>
    </row>
    <row r="66" spans="1:17">
      <c r="A66" s="8">
        <f t="shared" si="8"/>
        <v>238</v>
      </c>
      <c r="D66" t="s">
        <v>482</v>
      </c>
      <c r="E66" t="s">
        <v>481</v>
      </c>
      <c r="F66" s="235">
        <v>1.58</v>
      </c>
      <c r="Q66" s="8">
        <f t="shared" si="7"/>
        <v>238</v>
      </c>
    </row>
    <row r="67" spans="1:17">
      <c r="A67" s="8">
        <f t="shared" si="8"/>
        <v>239</v>
      </c>
      <c r="D67" t="s">
        <v>480</v>
      </c>
      <c r="E67" t="s">
        <v>479</v>
      </c>
      <c r="F67" s="235">
        <v>5.93</v>
      </c>
      <c r="Q67" s="8">
        <f t="shared" si="7"/>
        <v>239</v>
      </c>
    </row>
    <row r="68" spans="1:17">
      <c r="A68" s="8">
        <f t="shared" si="8"/>
        <v>240</v>
      </c>
      <c r="D68" t="s">
        <v>478</v>
      </c>
      <c r="E68" t="s">
        <v>477</v>
      </c>
      <c r="F68" s="235">
        <v>3.94</v>
      </c>
      <c r="Q68" s="8">
        <f t="shared" si="7"/>
        <v>240</v>
      </c>
    </row>
    <row r="69" spans="1:17">
      <c r="A69" s="8">
        <f t="shared" si="8"/>
        <v>241</v>
      </c>
      <c r="D69" t="s">
        <v>476</v>
      </c>
      <c r="E69" t="s">
        <v>475</v>
      </c>
      <c r="F69" s="235">
        <v>4.74</v>
      </c>
      <c r="Q69" s="8">
        <f t="shared" si="7"/>
        <v>241</v>
      </c>
    </row>
    <row r="70" spans="1:17">
      <c r="A70" s="8">
        <f t="shared" si="8"/>
        <v>242</v>
      </c>
      <c r="D70" t="s">
        <v>474</v>
      </c>
      <c r="E70" t="s">
        <v>473</v>
      </c>
      <c r="F70" s="235">
        <v>7.89</v>
      </c>
      <c r="Q70" s="8">
        <f t="shared" si="7"/>
        <v>242</v>
      </c>
    </row>
    <row r="71" spans="1:17">
      <c r="A71" s="8">
        <f t="shared" si="8"/>
        <v>243</v>
      </c>
      <c r="D71" t="s">
        <v>472</v>
      </c>
      <c r="E71" t="s">
        <v>471</v>
      </c>
      <c r="F71" s="235">
        <v>6.92</v>
      </c>
      <c r="Q71" s="8">
        <f t="shared" si="7"/>
        <v>243</v>
      </c>
    </row>
    <row r="72" spans="1:17">
      <c r="A72" s="8">
        <f t="shared" si="8"/>
        <v>244</v>
      </c>
      <c r="D72" t="s">
        <v>470</v>
      </c>
      <c r="E72" t="s">
        <v>469</v>
      </c>
      <c r="F72" s="235">
        <v>4.96</v>
      </c>
      <c r="Q72" s="8">
        <f t="shared" si="7"/>
        <v>244</v>
      </c>
    </row>
    <row r="73" spans="1:17">
      <c r="A73" s="8">
        <f t="shared" si="8"/>
        <v>245</v>
      </c>
      <c r="D73" t="s">
        <v>468</v>
      </c>
      <c r="E73" t="s">
        <v>467</v>
      </c>
      <c r="F73" s="235">
        <v>6.8499999999999988</v>
      </c>
      <c r="Q73" s="8">
        <f t="shared" si="7"/>
        <v>245</v>
      </c>
    </row>
    <row r="74" spans="1:17">
      <c r="A74" s="8">
        <f t="shared" si="8"/>
        <v>246</v>
      </c>
      <c r="D74" t="s">
        <v>466</v>
      </c>
      <c r="E74" t="s">
        <v>465</v>
      </c>
      <c r="F74" s="235">
        <v>2.4</v>
      </c>
      <c r="Q74" s="8">
        <f t="shared" si="7"/>
        <v>246</v>
      </c>
    </row>
    <row r="75" spans="1:17">
      <c r="A75" s="8">
        <f t="shared" si="8"/>
        <v>247</v>
      </c>
      <c r="D75" t="s">
        <v>464</v>
      </c>
      <c r="E75" t="s">
        <v>463</v>
      </c>
      <c r="F75" s="235">
        <v>0</v>
      </c>
      <c r="Q75" s="8"/>
    </row>
    <row r="76" spans="1:17">
      <c r="A76" s="8">
        <f t="shared" si="8"/>
        <v>248</v>
      </c>
      <c r="D76" t="s">
        <v>462</v>
      </c>
      <c r="E76" t="s">
        <v>461</v>
      </c>
      <c r="F76" s="235">
        <v>20.420000000000002</v>
      </c>
      <c r="Q76" s="8"/>
    </row>
    <row r="78" spans="1:17">
      <c r="B78" s="357" t="s">
        <v>127</v>
      </c>
      <c r="C78"/>
    </row>
    <row r="79" spans="1:17">
      <c r="B79" s="6" t="s">
        <v>1614</v>
      </c>
      <c r="C79"/>
    </row>
    <row r="80" spans="1:17">
      <c r="B80" s="17" t="s">
        <v>1732</v>
      </c>
      <c r="C80" s="17"/>
      <c r="D80" s="17"/>
      <c r="E80" s="17"/>
      <c r="F80" s="17"/>
      <c r="G80" s="17"/>
      <c r="H80" s="17"/>
      <c r="I80" s="17"/>
      <c r="J80" s="17"/>
      <c r="K80" s="17"/>
      <c r="L80" s="17"/>
      <c r="M80" s="17"/>
      <c r="N80" s="17"/>
      <c r="O80" s="17"/>
      <c r="P80" s="17"/>
    </row>
    <row r="81" spans="2:16" ht="15" customHeight="1">
      <c r="B81" s="17" t="s">
        <v>1615</v>
      </c>
      <c r="C81" s="17"/>
      <c r="D81" s="17"/>
      <c r="E81" s="17"/>
      <c r="F81" s="17"/>
      <c r="G81" s="17"/>
      <c r="H81" s="17"/>
      <c r="I81" s="17"/>
      <c r="J81" s="17"/>
      <c r="K81" s="17"/>
      <c r="L81" s="17"/>
      <c r="M81" s="17"/>
      <c r="N81" s="17"/>
      <c r="O81" s="17"/>
      <c r="P81" s="17"/>
    </row>
    <row r="82" spans="2:16">
      <c r="B82" s="17" t="s">
        <v>1867</v>
      </c>
      <c r="C82" s="17"/>
      <c r="D82" s="17"/>
      <c r="E82" s="17"/>
      <c r="F82" s="17"/>
      <c r="G82" s="17"/>
      <c r="H82" s="17"/>
      <c r="I82" s="17"/>
      <c r="J82" s="17"/>
      <c r="K82" s="17"/>
      <c r="L82" s="17"/>
      <c r="M82" s="17"/>
      <c r="N82" s="17"/>
      <c r="O82" s="17"/>
      <c r="P82" s="17"/>
    </row>
  </sheetData>
  <mergeCells count="2">
    <mergeCell ref="G8:H8"/>
    <mergeCell ref="M8:N8"/>
  </mergeCells>
  <printOptions horizontalCentered="1"/>
  <pageMargins left="1" right="1" top="1" bottom="1" header="0.5" footer="0.5"/>
  <pageSetup scale="4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4"/>
  <sheetViews>
    <sheetView tabSelected="1" view="pageBreakPreview" topLeftCell="A11" zoomScale="55" zoomScaleNormal="85" zoomScaleSheetLayoutView="55" zoomScalePageLayoutView="55" workbookViewId="0">
      <selection activeCell="P108" sqref="P108"/>
    </sheetView>
  </sheetViews>
  <sheetFormatPr defaultColWidth="9.1796875" defaultRowHeight="14.5"/>
  <cols>
    <col min="1" max="1" width="5.453125" customWidth="1"/>
    <col min="2" max="2" width="27.453125" customWidth="1"/>
    <col min="3" max="3" width="18.81640625" customWidth="1"/>
    <col min="4" max="4" width="25.54296875" customWidth="1"/>
    <col min="5" max="5" width="19.26953125" customWidth="1"/>
    <col min="6" max="6" width="20" customWidth="1"/>
    <col min="7" max="7" width="20.453125" customWidth="1"/>
    <col min="8" max="9" width="17.81640625" customWidth="1"/>
    <col min="10" max="10" width="8.1796875" customWidth="1"/>
    <col min="11" max="11" width="4.54296875" bestFit="1" customWidth="1"/>
    <col min="12" max="14" width="12.7265625" customWidth="1"/>
    <col min="15" max="15" width="2.453125" customWidth="1"/>
    <col min="16" max="18" width="12.7265625" customWidth="1"/>
  </cols>
  <sheetData>
    <row r="1" spans="1:12">
      <c r="B1" s="142" t="s">
        <v>576</v>
      </c>
      <c r="I1" s="15" t="str">
        <f>CONCATENATE("Prior Year: ",'1-BaseTRR'!$F$2)</f>
        <v>Prior Year: 2022</v>
      </c>
    </row>
    <row r="2" spans="1:12">
      <c r="B2" s="117" t="s">
        <v>196</v>
      </c>
      <c r="C2" s="49"/>
      <c r="I2" s="15"/>
    </row>
    <row r="4" spans="1:12">
      <c r="B4" s="118" t="s">
        <v>577</v>
      </c>
      <c r="C4" s="54"/>
      <c r="D4" s="54"/>
      <c r="E4" s="54"/>
      <c r="F4" s="54"/>
      <c r="G4" s="54"/>
      <c r="H4" s="54"/>
      <c r="I4" s="54"/>
    </row>
    <row r="5" spans="1:12">
      <c r="B5" s="17" t="s">
        <v>578</v>
      </c>
      <c r="D5" s="244"/>
      <c r="E5" s="245"/>
    </row>
    <row r="6" spans="1:12">
      <c r="D6" s="244"/>
      <c r="E6" s="245"/>
    </row>
    <row r="7" spans="1:12">
      <c r="D7" s="122" t="s">
        <v>100</v>
      </c>
      <c r="E7" s="122" t="s">
        <v>101</v>
      </c>
      <c r="F7" s="122" t="s">
        <v>102</v>
      </c>
      <c r="G7" s="122" t="s">
        <v>103</v>
      </c>
      <c r="H7" s="122"/>
    </row>
    <row r="8" spans="1:12" ht="29">
      <c r="B8" s="246"/>
      <c r="C8" s="153"/>
      <c r="D8" s="196" t="s">
        <v>125</v>
      </c>
      <c r="E8" s="247" t="s">
        <v>126</v>
      </c>
      <c r="F8" s="246" t="s">
        <v>1081</v>
      </c>
      <c r="G8" s="246" t="s">
        <v>1082</v>
      </c>
    </row>
    <row r="9" spans="1:12">
      <c r="D9" s="248"/>
      <c r="E9" s="245"/>
      <c r="F9" s="249"/>
      <c r="G9" s="249"/>
    </row>
    <row r="10" spans="1:12">
      <c r="D10" s="250" t="s">
        <v>579</v>
      </c>
      <c r="E10" s="250" t="s">
        <v>361</v>
      </c>
      <c r="F10" s="249"/>
      <c r="G10" s="249"/>
    </row>
    <row r="11" spans="1:12">
      <c r="B11" s="251"/>
      <c r="C11" s="252"/>
      <c r="D11" s="250" t="s">
        <v>580</v>
      </c>
      <c r="E11" s="250" t="s">
        <v>375</v>
      </c>
      <c r="F11" s="250" t="s">
        <v>387</v>
      </c>
      <c r="G11" s="250" t="s">
        <v>388</v>
      </c>
    </row>
    <row r="12" spans="1:12">
      <c r="A12" s="253" t="s">
        <v>581</v>
      </c>
      <c r="B12" s="254" t="s">
        <v>82</v>
      </c>
      <c r="C12" s="254" t="s">
        <v>111</v>
      </c>
      <c r="D12" s="254" t="s">
        <v>582</v>
      </c>
      <c r="E12" s="254" t="s">
        <v>583</v>
      </c>
      <c r="F12" s="254" t="s">
        <v>435</v>
      </c>
      <c r="G12" s="254" t="s">
        <v>435</v>
      </c>
      <c r="J12" s="253" t="str">
        <f t="shared" ref="J12:J26" si="0">A12</f>
        <v xml:space="preserve">Line </v>
      </c>
    </row>
    <row r="13" spans="1:12">
      <c r="A13" s="131">
        <v>100</v>
      </c>
      <c r="B13" s="252" t="s">
        <v>113</v>
      </c>
      <c r="C13" s="255">
        <f>'1-BaseTRR'!$F$2-1</f>
        <v>2021</v>
      </c>
      <c r="D13" s="491">
        <v>552298301.95000005</v>
      </c>
      <c r="E13" s="491">
        <v>90974457</v>
      </c>
      <c r="F13" s="492">
        <f>+E13*'24-Allocators'!$C$43</f>
        <v>31176410.413270708</v>
      </c>
      <c r="G13" s="492">
        <f>+E13*'24-Allocators'!$C$44</f>
        <v>59798046.586729288</v>
      </c>
      <c r="I13" s="33"/>
      <c r="J13" s="131">
        <f t="shared" si="0"/>
        <v>100</v>
      </c>
      <c r="L13" s="33"/>
    </row>
    <row r="14" spans="1:12">
      <c r="A14" s="131">
        <f t="shared" ref="A14:A26" si="1">A13+1</f>
        <v>101</v>
      </c>
      <c r="B14" s="252" t="s">
        <v>114</v>
      </c>
      <c r="C14" s="255">
        <f>'1-BaseTRR'!$F$2</f>
        <v>2022</v>
      </c>
      <c r="D14" s="352">
        <v>564783471.21000004</v>
      </c>
      <c r="E14" s="352">
        <v>91924105.826703519</v>
      </c>
      <c r="F14" s="492">
        <f>+E14*'24-Allocators'!$C$43</f>
        <v>31501849.471068986</v>
      </c>
      <c r="G14" s="492">
        <f>+E14*'24-Allocators'!$C$44</f>
        <v>60422256.355634533</v>
      </c>
      <c r="I14" s="33"/>
      <c r="J14" s="131">
        <f t="shared" si="0"/>
        <v>101</v>
      </c>
      <c r="L14" s="33"/>
    </row>
    <row r="15" spans="1:12">
      <c r="A15" s="131">
        <f t="shared" si="1"/>
        <v>102</v>
      </c>
      <c r="B15" s="252" t="s">
        <v>115</v>
      </c>
      <c r="C15" s="255">
        <f>'1-BaseTRR'!$F$2</f>
        <v>2022</v>
      </c>
      <c r="D15" s="352">
        <v>574682220.38</v>
      </c>
      <c r="E15" s="352">
        <v>91973233.488113105</v>
      </c>
      <c r="F15" s="492">
        <f>+E15*'24-Allocators'!$C$43</f>
        <v>31518685.231185142</v>
      </c>
      <c r="G15" s="492">
        <f>+E15*'24-Allocators'!$C$44</f>
        <v>60454548.256927967</v>
      </c>
      <c r="I15" s="33"/>
      <c r="J15" s="131">
        <f t="shared" si="0"/>
        <v>102</v>
      </c>
      <c r="L15" s="33"/>
    </row>
    <row r="16" spans="1:12">
      <c r="A16" s="131">
        <f t="shared" si="1"/>
        <v>103</v>
      </c>
      <c r="B16" s="252" t="s">
        <v>116</v>
      </c>
      <c r="C16" s="255">
        <f>'1-BaseTRR'!$F$2</f>
        <v>2022</v>
      </c>
      <c r="D16" s="352">
        <v>588948416.83000004</v>
      </c>
      <c r="E16" s="352">
        <v>91947227.717747748</v>
      </c>
      <c r="F16" s="492">
        <f>+E16*'24-Allocators'!$C$43</f>
        <v>31509773.206900965</v>
      </c>
      <c r="G16" s="492">
        <f>+E16*'24-Allocators'!$C$44</f>
        <v>60437454.510846779</v>
      </c>
      <c r="I16" s="33"/>
      <c r="J16" s="131">
        <f t="shared" si="0"/>
        <v>103</v>
      </c>
      <c r="L16" s="33"/>
    </row>
    <row r="17" spans="1:12">
      <c r="A17" s="131">
        <f t="shared" si="1"/>
        <v>104</v>
      </c>
      <c r="B17" s="252" t="s">
        <v>117</v>
      </c>
      <c r="C17" s="255">
        <f>'1-BaseTRR'!$F$2</f>
        <v>2022</v>
      </c>
      <c r="D17" s="352">
        <v>604137329.42999995</v>
      </c>
      <c r="E17" s="352">
        <v>92350284.12729232</v>
      </c>
      <c r="F17" s="492">
        <f>+E17*'24-Allocators'!$C$43</f>
        <v>31647898.263735995</v>
      </c>
      <c r="G17" s="492">
        <f>+E17*'24-Allocators'!$C$44</f>
        <v>60702385.863556325</v>
      </c>
      <c r="I17" s="33"/>
      <c r="J17" s="131">
        <f t="shared" si="0"/>
        <v>104</v>
      </c>
      <c r="L17" s="33"/>
    </row>
    <row r="18" spans="1:12">
      <c r="A18" s="131">
        <f t="shared" si="1"/>
        <v>105</v>
      </c>
      <c r="B18" s="252" t="s">
        <v>90</v>
      </c>
      <c r="C18" s="255">
        <f>'1-BaseTRR'!$F$2</f>
        <v>2022</v>
      </c>
      <c r="D18" s="352">
        <v>615409861.60000002</v>
      </c>
      <c r="E18" s="352">
        <v>89109405.309533373</v>
      </c>
      <c r="F18" s="492">
        <f>+E18*'24-Allocators'!$C$43</f>
        <v>30537268.187404476</v>
      </c>
      <c r="G18" s="492">
        <f>+E18*'24-Allocators'!$C$44</f>
        <v>58572137.122128896</v>
      </c>
      <c r="I18" s="33"/>
      <c r="J18" s="131">
        <f t="shared" si="0"/>
        <v>105</v>
      </c>
      <c r="L18" s="33"/>
    </row>
    <row r="19" spans="1:12">
      <c r="A19" s="131">
        <f t="shared" si="1"/>
        <v>106</v>
      </c>
      <c r="B19" s="252" t="s">
        <v>277</v>
      </c>
      <c r="C19" s="255">
        <f>'1-BaseTRR'!$F$2</f>
        <v>2022</v>
      </c>
      <c r="D19" s="352">
        <v>614743669.75</v>
      </c>
      <c r="E19" s="352">
        <v>88120388.332757458</v>
      </c>
      <c r="F19" s="492">
        <f>+E19*'24-Allocators'!$C$43</f>
        <v>30198337.896524496</v>
      </c>
      <c r="G19" s="492">
        <f>+E19*'24-Allocators'!$C$44</f>
        <v>57922050.436232962</v>
      </c>
      <c r="I19" s="33"/>
      <c r="J19" s="131">
        <f t="shared" si="0"/>
        <v>106</v>
      </c>
      <c r="L19" s="33"/>
    </row>
    <row r="20" spans="1:12">
      <c r="A20" s="131">
        <f t="shared" si="1"/>
        <v>107</v>
      </c>
      <c r="B20" s="252" t="s">
        <v>119</v>
      </c>
      <c r="C20" s="255">
        <f>'1-BaseTRR'!$F$2</f>
        <v>2022</v>
      </c>
      <c r="D20" s="352">
        <v>626365737.22000003</v>
      </c>
      <c r="E20" s="352">
        <v>90877743.007042557</v>
      </c>
      <c r="F20" s="492">
        <f>+E20*'24-Allocators'!$C$43</f>
        <v>31143267.097700853</v>
      </c>
      <c r="G20" s="492">
        <f>+E20*'24-Allocators'!$C$44</f>
        <v>59734475.909341708</v>
      </c>
      <c r="I20" s="33"/>
      <c r="J20" s="131">
        <f t="shared" si="0"/>
        <v>107</v>
      </c>
      <c r="L20" s="33"/>
    </row>
    <row r="21" spans="1:12">
      <c r="A21" s="131">
        <f t="shared" si="1"/>
        <v>108</v>
      </c>
      <c r="B21" s="252" t="s">
        <v>120</v>
      </c>
      <c r="C21" s="255">
        <f>'1-BaseTRR'!$F$2</f>
        <v>2022</v>
      </c>
      <c r="D21" s="352">
        <v>654666817.51999998</v>
      </c>
      <c r="E21" s="352">
        <v>96836444.267532155</v>
      </c>
      <c r="F21" s="492">
        <f>+E21*'24-Allocators'!$C$43</f>
        <v>33185278.912369855</v>
      </c>
      <c r="G21" s="492">
        <f>+E21*'24-Allocators'!$C$44</f>
        <v>63651165.3551623</v>
      </c>
      <c r="I21" s="33"/>
      <c r="J21" s="131">
        <f t="shared" si="0"/>
        <v>108</v>
      </c>
      <c r="L21" s="33"/>
    </row>
    <row r="22" spans="1:12">
      <c r="A22" s="131">
        <f t="shared" si="1"/>
        <v>109</v>
      </c>
      <c r="B22" s="252" t="s">
        <v>121</v>
      </c>
      <c r="C22" s="255">
        <f>'1-BaseTRR'!$F$2</f>
        <v>2022</v>
      </c>
      <c r="D22" s="352">
        <v>666037933.67999995</v>
      </c>
      <c r="E22" s="352">
        <v>95538068.619820923</v>
      </c>
      <c r="F22" s="492">
        <f>+E22*'24-Allocators'!$C$43</f>
        <v>32740333.22763066</v>
      </c>
      <c r="G22" s="492">
        <f>+E22*'24-Allocators'!$C$44</f>
        <v>62797735.392190263</v>
      </c>
      <c r="I22" s="33"/>
      <c r="J22" s="131">
        <f t="shared" si="0"/>
        <v>109</v>
      </c>
      <c r="L22" s="33"/>
    </row>
    <row r="23" spans="1:12">
      <c r="A23" s="131">
        <f t="shared" si="1"/>
        <v>110</v>
      </c>
      <c r="B23" s="252" t="s">
        <v>122</v>
      </c>
      <c r="C23" s="255">
        <f>'1-BaseTRR'!$F$2</f>
        <v>2022</v>
      </c>
      <c r="D23" s="352">
        <v>682317106.79999995</v>
      </c>
      <c r="E23" s="352">
        <v>97328713.598736972</v>
      </c>
      <c r="F23" s="492">
        <f>+E23*'24-Allocators'!$C$43</f>
        <v>33353976.711835783</v>
      </c>
      <c r="G23" s="492">
        <f>+E23*'24-Allocators'!$C$44</f>
        <v>63974736.886901192</v>
      </c>
      <c r="I23" s="33"/>
      <c r="J23" s="131">
        <f t="shared" si="0"/>
        <v>110</v>
      </c>
      <c r="L23" s="33"/>
    </row>
    <row r="24" spans="1:12">
      <c r="A24" s="131">
        <f t="shared" si="1"/>
        <v>111</v>
      </c>
      <c r="B24" s="252" t="s">
        <v>123</v>
      </c>
      <c r="C24" s="255">
        <f>'1-BaseTRR'!$F$2</f>
        <v>2022</v>
      </c>
      <c r="D24" s="352">
        <v>720967137.90999997</v>
      </c>
      <c r="E24" s="444">
        <v>103100374.97713721</v>
      </c>
      <c r="F24" s="492">
        <f>+E24*'24-Allocators'!$C$43</f>
        <v>35331891.060908839</v>
      </c>
      <c r="G24" s="492">
        <f>+E24*'24-Allocators'!$C$44</f>
        <v>67768483.916228369</v>
      </c>
      <c r="I24" s="33"/>
      <c r="J24" s="131">
        <f t="shared" si="0"/>
        <v>111</v>
      </c>
      <c r="L24" s="33"/>
    </row>
    <row r="25" spans="1:12">
      <c r="A25" s="131">
        <f t="shared" si="1"/>
        <v>112</v>
      </c>
      <c r="B25" s="256" t="s">
        <v>113</v>
      </c>
      <c r="C25" s="257">
        <f>'1-BaseTRR'!$F$2</f>
        <v>2022</v>
      </c>
      <c r="D25" s="786">
        <v>751427248.86000001</v>
      </c>
      <c r="E25" s="493">
        <v>107423252.17511886</v>
      </c>
      <c r="F25" s="494">
        <f>+E25*'24-Allocators'!$C$43</f>
        <v>36813315.60725645</v>
      </c>
      <c r="G25" s="494">
        <f>+E25*'24-Allocators'!$C$44</f>
        <v>70609936.567862406</v>
      </c>
      <c r="I25" s="33"/>
      <c r="J25" s="131">
        <f t="shared" si="0"/>
        <v>112</v>
      </c>
      <c r="L25" s="33"/>
    </row>
    <row r="26" spans="1:12">
      <c r="A26" s="131">
        <f t="shared" si="1"/>
        <v>113</v>
      </c>
      <c r="B26" s="258" t="s">
        <v>362</v>
      </c>
      <c r="C26" s="258"/>
      <c r="D26" s="353">
        <f>SUM(D13:D25)/13</f>
        <v>632060404.08769226</v>
      </c>
      <c r="E26" s="548">
        <f t="shared" ref="E26:G26" si="2">SUM(E13:E25)/13</f>
        <v>94423361.419041246</v>
      </c>
      <c r="F26" s="548">
        <f t="shared" si="2"/>
        <v>32358329.63752256</v>
      </c>
      <c r="G26" s="548">
        <f t="shared" si="2"/>
        <v>62065031.78151869</v>
      </c>
      <c r="J26" s="131">
        <f t="shared" si="0"/>
        <v>113</v>
      </c>
    </row>
    <row r="27" spans="1:12">
      <c r="C27" s="17"/>
    </row>
    <row r="28" spans="1:12">
      <c r="C28" s="17"/>
    </row>
    <row r="29" spans="1:12">
      <c r="B29" s="118" t="s">
        <v>584</v>
      </c>
      <c r="C29" s="54"/>
      <c r="D29" s="54"/>
      <c r="E29" s="54"/>
      <c r="F29" s="54"/>
      <c r="G29" s="54"/>
      <c r="H29" s="54"/>
      <c r="I29" s="54"/>
    </row>
    <row r="30" spans="1:12" ht="15" customHeight="1">
      <c r="B30" s="825" t="s">
        <v>1675</v>
      </c>
      <c r="C30" s="825"/>
      <c r="D30" s="825"/>
      <c r="E30" s="825"/>
      <c r="F30" s="825"/>
      <c r="G30" s="825"/>
      <c r="H30" s="825"/>
      <c r="I30" s="825"/>
      <c r="J30" s="259"/>
    </row>
    <row r="31" spans="1:12">
      <c r="B31" s="825"/>
      <c r="C31" s="825"/>
      <c r="D31" s="825"/>
      <c r="E31" s="825"/>
      <c r="F31" s="825"/>
      <c r="G31" s="825"/>
      <c r="H31" s="825"/>
      <c r="I31" s="825"/>
      <c r="J31" s="259"/>
    </row>
    <row r="32" spans="1:12">
      <c r="B32" s="259"/>
      <c r="C32" s="259"/>
      <c r="D32" s="259"/>
      <c r="E32" s="259"/>
      <c r="F32" s="259"/>
      <c r="G32" s="826"/>
      <c r="H32" s="826"/>
      <c r="I32" s="826"/>
    </row>
    <row r="33" spans="1:18">
      <c r="B33" s="122" t="s">
        <v>100</v>
      </c>
      <c r="C33" s="122" t="s">
        <v>101</v>
      </c>
      <c r="D33" s="122" t="s">
        <v>102</v>
      </c>
      <c r="E33" s="122" t="s">
        <v>103</v>
      </c>
      <c r="F33" s="122" t="s">
        <v>104</v>
      </c>
      <c r="G33" s="122" t="s">
        <v>105</v>
      </c>
      <c r="H33" s="122" t="s">
        <v>106</v>
      </c>
      <c r="I33" s="122" t="s">
        <v>107</v>
      </c>
      <c r="J33" s="122"/>
    </row>
    <row r="34" spans="1:18">
      <c r="B34" s="140" t="s">
        <v>588</v>
      </c>
      <c r="C34" s="122"/>
      <c r="D34" s="260" t="s">
        <v>2053</v>
      </c>
      <c r="E34" s="140" t="s">
        <v>169</v>
      </c>
      <c r="F34" s="140" t="s">
        <v>589</v>
      </c>
      <c r="G34" s="140" t="s">
        <v>218</v>
      </c>
      <c r="H34" s="140" t="s">
        <v>219</v>
      </c>
      <c r="I34" s="140" t="s">
        <v>171</v>
      </c>
    </row>
    <row r="35" spans="1:18" ht="15" customHeight="1">
      <c r="E35" s="261" t="s">
        <v>590</v>
      </c>
      <c r="G35" s="827" t="s">
        <v>591</v>
      </c>
      <c r="H35" s="827"/>
      <c r="I35" s="827"/>
    </row>
    <row r="36" spans="1:18" ht="27.75" customHeight="1">
      <c r="A36" s="253" t="s">
        <v>124</v>
      </c>
      <c r="B36" s="253" t="s">
        <v>82</v>
      </c>
      <c r="C36" s="253" t="s">
        <v>111</v>
      </c>
      <c r="D36" s="253" t="s">
        <v>1715</v>
      </c>
      <c r="E36" s="253" t="s">
        <v>592</v>
      </c>
      <c r="F36" s="253" t="s">
        <v>593</v>
      </c>
      <c r="G36" s="253" t="s">
        <v>594</v>
      </c>
      <c r="H36" s="253" t="s">
        <v>595</v>
      </c>
      <c r="I36" s="253" t="s">
        <v>596</v>
      </c>
      <c r="J36" s="262" t="str">
        <f t="shared" ref="J36:J49" si="3">A36</f>
        <v>Line</v>
      </c>
    </row>
    <row r="37" spans="1:18">
      <c r="A37" s="131">
        <v>200</v>
      </c>
      <c r="B37" s="252" t="s">
        <v>113</v>
      </c>
      <c r="C37" s="255">
        <f>'1-BaseTRR'!$F$2-1</f>
        <v>2021</v>
      </c>
      <c r="D37" s="352">
        <v>520256194.68000007</v>
      </c>
      <c r="E37" s="352">
        <v>36907971.290000007</v>
      </c>
      <c r="F37" s="33">
        <f t="shared" ref="F37:F49" si="4">+D37-E37</f>
        <v>483348223.39000005</v>
      </c>
      <c r="G37" s="570">
        <v>5341192.0999999996</v>
      </c>
      <c r="H37" s="570">
        <v>329276041.40999997</v>
      </c>
      <c r="I37" s="570">
        <v>148730989.88</v>
      </c>
      <c r="J37" s="131">
        <f t="shared" si="3"/>
        <v>200</v>
      </c>
      <c r="L37" s="263"/>
      <c r="M37" s="263"/>
      <c r="N37" s="263"/>
      <c r="O37" s="263"/>
      <c r="P37" s="264"/>
      <c r="Q37" s="265"/>
      <c r="R37" s="265"/>
    </row>
    <row r="38" spans="1:18">
      <c r="A38" s="131">
        <f t="shared" ref="A38:A49" si="5">A37+1</f>
        <v>201</v>
      </c>
      <c r="B38" s="252" t="s">
        <v>114</v>
      </c>
      <c r="C38" s="255">
        <f>'1-BaseTRR'!$F$2</f>
        <v>2022</v>
      </c>
      <c r="D38" s="352">
        <v>503762533.92999995</v>
      </c>
      <c r="E38" s="352">
        <v>38798087.750000007</v>
      </c>
      <c r="F38" s="33">
        <f t="shared" si="4"/>
        <v>464964446.17999995</v>
      </c>
      <c r="G38" s="570">
        <v>2786956.73</v>
      </c>
      <c r="H38" s="570">
        <v>275211805.38</v>
      </c>
      <c r="I38" s="570">
        <v>186965684.06999999</v>
      </c>
      <c r="J38" s="131">
        <f t="shared" si="3"/>
        <v>201</v>
      </c>
      <c r="L38" s="263"/>
      <c r="M38" s="263"/>
      <c r="N38" s="263"/>
      <c r="O38" s="263"/>
      <c r="P38" s="264"/>
      <c r="Q38" s="265"/>
      <c r="R38" s="265"/>
    </row>
    <row r="39" spans="1:18">
      <c r="A39" s="131">
        <f t="shared" si="5"/>
        <v>202</v>
      </c>
      <c r="B39" s="252" t="s">
        <v>115</v>
      </c>
      <c r="C39" s="255">
        <f>'1-BaseTRR'!$F$2</f>
        <v>2022</v>
      </c>
      <c r="D39" s="352">
        <v>423722926.08000004</v>
      </c>
      <c r="E39" s="352">
        <v>13382736.170000006</v>
      </c>
      <c r="F39" s="33">
        <f t="shared" si="4"/>
        <v>410340189.91000003</v>
      </c>
      <c r="G39" s="570">
        <v>573395.49</v>
      </c>
      <c r="H39" s="570">
        <v>221147569.35000002</v>
      </c>
      <c r="I39" s="570">
        <v>188619225.07000002</v>
      </c>
      <c r="J39" s="131">
        <f t="shared" si="3"/>
        <v>202</v>
      </c>
      <c r="L39" s="263"/>
      <c r="M39" s="263"/>
      <c r="N39" s="263"/>
      <c r="O39" s="263"/>
      <c r="P39" s="264"/>
      <c r="Q39" s="265"/>
      <c r="R39" s="265"/>
    </row>
    <row r="40" spans="1:18">
      <c r="A40" s="131">
        <f t="shared" si="5"/>
        <v>203</v>
      </c>
      <c r="B40" s="252" t="s">
        <v>116</v>
      </c>
      <c r="C40" s="255">
        <f>'1-BaseTRR'!$F$2</f>
        <v>2022</v>
      </c>
      <c r="D40" s="352">
        <v>370427559.17999995</v>
      </c>
      <c r="E40" s="352">
        <v>5552604.5500000054</v>
      </c>
      <c r="F40" s="33">
        <f t="shared" si="4"/>
        <v>364874954.62999994</v>
      </c>
      <c r="G40" s="570">
        <v>22333895.199999999</v>
      </c>
      <c r="H40" s="570">
        <v>167083333.31999999</v>
      </c>
      <c r="I40" s="570">
        <v>175457726.10999998</v>
      </c>
      <c r="J40" s="131">
        <f t="shared" si="3"/>
        <v>203</v>
      </c>
      <c r="L40" s="263"/>
      <c r="M40" s="263"/>
      <c r="N40" s="263"/>
      <c r="O40" s="263"/>
      <c r="P40" s="264"/>
      <c r="Q40" s="265"/>
      <c r="R40" s="265"/>
    </row>
    <row r="41" spans="1:18">
      <c r="A41" s="131">
        <f t="shared" si="5"/>
        <v>204</v>
      </c>
      <c r="B41" s="252" t="s">
        <v>117</v>
      </c>
      <c r="C41" s="255">
        <f>'1-BaseTRR'!$F$2</f>
        <v>2022</v>
      </c>
      <c r="D41" s="352">
        <v>801359203.52999997</v>
      </c>
      <c r="E41" s="352">
        <v>5299740.7500000056</v>
      </c>
      <c r="F41" s="33">
        <f t="shared" si="4"/>
        <v>796059462.77999997</v>
      </c>
      <c r="G41" s="570">
        <v>26738852.169999998</v>
      </c>
      <c r="H41" s="570">
        <v>489152894.16000003</v>
      </c>
      <c r="I41" s="570">
        <v>280167716.44999999</v>
      </c>
      <c r="J41" s="131">
        <f t="shared" si="3"/>
        <v>204</v>
      </c>
      <c r="L41" s="263"/>
      <c r="M41" s="263"/>
      <c r="N41" s="263"/>
      <c r="O41" s="263"/>
      <c r="P41" s="264"/>
      <c r="Q41" s="265"/>
      <c r="R41" s="265"/>
    </row>
    <row r="42" spans="1:18">
      <c r="A42" s="131">
        <f t="shared" si="5"/>
        <v>205</v>
      </c>
      <c r="B42" s="252" t="s">
        <v>90</v>
      </c>
      <c r="C42" s="255">
        <f>'1-BaseTRR'!$F$2</f>
        <v>2022</v>
      </c>
      <c r="D42" s="352">
        <v>671198935.00999987</v>
      </c>
      <c r="E42" s="352">
        <v>5046876.9500000058</v>
      </c>
      <c r="F42" s="33">
        <f t="shared" si="4"/>
        <v>666152058.05999982</v>
      </c>
      <c r="G42" s="570">
        <v>26679849.780000001</v>
      </c>
      <c r="H42" s="570">
        <v>413909530.95999992</v>
      </c>
      <c r="I42" s="570">
        <v>225562677.31999996</v>
      </c>
      <c r="J42" s="131">
        <f t="shared" si="3"/>
        <v>205</v>
      </c>
      <c r="L42" s="263"/>
      <c r="M42" s="263"/>
      <c r="N42" s="263"/>
      <c r="O42" s="263"/>
      <c r="P42" s="264"/>
      <c r="Q42" s="265"/>
      <c r="R42" s="265"/>
    </row>
    <row r="43" spans="1:18">
      <c r="A43" s="131">
        <f t="shared" si="5"/>
        <v>206</v>
      </c>
      <c r="B43" s="252" t="s">
        <v>277</v>
      </c>
      <c r="C43" s="255">
        <f>'1-BaseTRR'!$F$2</f>
        <v>2022</v>
      </c>
      <c r="D43" s="352">
        <v>559367164.83999991</v>
      </c>
      <c r="E43" s="352">
        <v>6571160.4900000058</v>
      </c>
      <c r="F43" s="33">
        <f t="shared" si="4"/>
        <v>552796004.3499999</v>
      </c>
      <c r="G43" s="570">
        <v>23791903.09</v>
      </c>
      <c r="H43" s="570">
        <v>339101911.19999999</v>
      </c>
      <c r="I43" s="570">
        <v>189902190.06</v>
      </c>
      <c r="J43" s="131">
        <f t="shared" si="3"/>
        <v>206</v>
      </c>
      <c r="L43" s="263"/>
      <c r="M43" s="263"/>
      <c r="N43" s="263"/>
      <c r="O43" s="263"/>
      <c r="P43" s="264"/>
      <c r="Q43" s="265"/>
      <c r="R43" s="265"/>
    </row>
    <row r="44" spans="1:18">
      <c r="A44" s="131">
        <f t="shared" si="5"/>
        <v>207</v>
      </c>
      <c r="B44" s="252" t="s">
        <v>119</v>
      </c>
      <c r="C44" s="255">
        <f>'1-BaseTRR'!$F$2</f>
        <v>2022</v>
      </c>
      <c r="D44" s="352">
        <v>1010206675.9399998</v>
      </c>
      <c r="E44" s="352">
        <v>6318296.6900000051</v>
      </c>
      <c r="F44" s="33">
        <f t="shared" si="4"/>
        <v>1003888379.2499998</v>
      </c>
      <c r="G44" s="570">
        <v>20903956.399999999</v>
      </c>
      <c r="H44" s="570">
        <v>765544291.39999998</v>
      </c>
      <c r="I44" s="570">
        <v>217440131.44999996</v>
      </c>
      <c r="J44" s="131">
        <f t="shared" si="3"/>
        <v>207</v>
      </c>
      <c r="L44" s="263"/>
      <c r="M44" s="263"/>
      <c r="N44" s="263"/>
      <c r="O44" s="263"/>
      <c r="P44" s="264"/>
      <c r="Q44" s="265"/>
      <c r="R44" s="265"/>
    </row>
    <row r="45" spans="1:18">
      <c r="A45" s="131">
        <f t="shared" si="5"/>
        <v>208</v>
      </c>
      <c r="B45" s="252" t="s">
        <v>120</v>
      </c>
      <c r="C45" s="255">
        <f>'1-BaseTRR'!$F$2</f>
        <v>2022</v>
      </c>
      <c r="D45" s="352">
        <v>930491659.18999994</v>
      </c>
      <c r="E45" s="352">
        <v>7871449.6000000052</v>
      </c>
      <c r="F45" s="33">
        <f t="shared" si="4"/>
        <v>922620209.58999991</v>
      </c>
      <c r="G45" s="570">
        <v>18016009.710000001</v>
      </c>
      <c r="H45" s="570">
        <v>690736671.63999999</v>
      </c>
      <c r="I45" s="570">
        <v>213867528.24000001</v>
      </c>
      <c r="J45" s="131">
        <f t="shared" si="3"/>
        <v>208</v>
      </c>
      <c r="L45" s="263"/>
      <c r="M45" s="263"/>
      <c r="N45" s="263"/>
      <c r="O45" s="263"/>
      <c r="P45" s="264"/>
      <c r="Q45" s="265"/>
      <c r="R45" s="265"/>
    </row>
    <row r="46" spans="1:18">
      <c r="A46" s="131">
        <f t="shared" si="5"/>
        <v>209</v>
      </c>
      <c r="B46" s="252" t="s">
        <v>121</v>
      </c>
      <c r="C46" s="255">
        <f>'1-BaseTRR'!$F$2</f>
        <v>2022</v>
      </c>
      <c r="D46" s="352">
        <v>834413543.45999992</v>
      </c>
      <c r="E46" s="352">
        <v>9623467.9700000044</v>
      </c>
      <c r="F46" s="33">
        <f t="shared" si="4"/>
        <v>824790075.48999989</v>
      </c>
      <c r="G46" s="570">
        <v>15128063.020000001</v>
      </c>
      <c r="H46" s="570">
        <v>615929051.87999988</v>
      </c>
      <c r="I46" s="570">
        <v>193732960.59000003</v>
      </c>
      <c r="J46" s="131">
        <f t="shared" si="3"/>
        <v>209</v>
      </c>
      <c r="L46" s="263"/>
      <c r="M46" s="263"/>
      <c r="N46" s="263"/>
      <c r="O46" s="263"/>
      <c r="P46" s="264"/>
      <c r="Q46" s="265"/>
      <c r="R46" s="265"/>
    </row>
    <row r="47" spans="1:18">
      <c r="A47" s="131">
        <f t="shared" si="5"/>
        <v>210</v>
      </c>
      <c r="B47" s="252" t="s">
        <v>122</v>
      </c>
      <c r="C47" s="255">
        <f>'1-BaseTRR'!$F$2</f>
        <v>2022</v>
      </c>
      <c r="D47" s="352">
        <v>743906227.23000014</v>
      </c>
      <c r="E47" s="352">
        <v>9370604.1700000055</v>
      </c>
      <c r="F47" s="33">
        <f t="shared" si="4"/>
        <v>734535623.06000018</v>
      </c>
      <c r="G47" s="570">
        <v>12240116.329999998</v>
      </c>
      <c r="H47" s="570">
        <v>541121432.12</v>
      </c>
      <c r="I47" s="570">
        <v>181174074.61000007</v>
      </c>
      <c r="J47" s="131">
        <f t="shared" si="3"/>
        <v>210</v>
      </c>
      <c r="L47" s="263"/>
      <c r="M47" s="263"/>
      <c r="N47" s="263"/>
      <c r="O47" s="263"/>
      <c r="P47" s="264"/>
      <c r="Q47" s="265"/>
      <c r="R47" s="265"/>
    </row>
    <row r="48" spans="1:18">
      <c r="A48" s="131">
        <f t="shared" si="5"/>
        <v>211</v>
      </c>
      <c r="B48" s="252" t="s">
        <v>123</v>
      </c>
      <c r="C48" s="255">
        <f>'1-BaseTRR'!$F$2</f>
        <v>2022</v>
      </c>
      <c r="D48" s="352">
        <v>673741745.99000001</v>
      </c>
      <c r="E48" s="352">
        <v>9117740.3700000048</v>
      </c>
      <c r="F48" s="33">
        <f t="shared" si="4"/>
        <v>664624005.62</v>
      </c>
      <c r="G48" s="570">
        <v>9352169.6400000006</v>
      </c>
      <c r="H48" s="570">
        <v>466313812.36000001</v>
      </c>
      <c r="I48" s="570">
        <v>188958023.62</v>
      </c>
      <c r="J48" s="131">
        <f t="shared" si="3"/>
        <v>211</v>
      </c>
      <c r="L48" s="263"/>
      <c r="M48" s="263"/>
      <c r="N48" s="263"/>
      <c r="O48" s="263"/>
      <c r="P48" s="264"/>
      <c r="Q48" s="265"/>
      <c r="R48" s="265"/>
    </row>
    <row r="49" spans="1:18">
      <c r="A49" s="131">
        <f t="shared" si="5"/>
        <v>212</v>
      </c>
      <c r="B49" s="251" t="s">
        <v>113</v>
      </c>
      <c r="C49" s="255">
        <f>'1-BaseTRR'!$F$2</f>
        <v>2022</v>
      </c>
      <c r="D49" s="352">
        <v>570965644.62</v>
      </c>
      <c r="E49" s="352">
        <v>10875252.010000005</v>
      </c>
      <c r="F49" s="33">
        <f t="shared" si="4"/>
        <v>560090392.61000001</v>
      </c>
      <c r="G49" s="570">
        <v>6464222.9500000002</v>
      </c>
      <c r="H49" s="570">
        <v>391506192.60000002</v>
      </c>
      <c r="I49" s="570">
        <v>162119977.06</v>
      </c>
      <c r="J49" s="131">
        <f t="shared" si="3"/>
        <v>212</v>
      </c>
      <c r="L49" s="263"/>
      <c r="M49" s="263"/>
      <c r="N49" s="263"/>
      <c r="O49" s="263"/>
      <c r="P49" s="264"/>
      <c r="Q49" s="265"/>
      <c r="R49" s="265"/>
    </row>
    <row r="50" spans="1:18">
      <c r="A50" s="131"/>
      <c r="B50" s="251"/>
      <c r="C50" s="255"/>
      <c r="D50" s="20"/>
      <c r="E50" s="20"/>
      <c r="F50" s="20"/>
      <c r="G50" s="266"/>
      <c r="H50" s="266"/>
      <c r="I50" s="266"/>
      <c r="J50" s="131"/>
      <c r="L50" s="263"/>
      <c r="M50" s="263"/>
      <c r="N50" s="263"/>
      <c r="O50" s="263"/>
      <c r="P50" s="264"/>
      <c r="Q50" s="265"/>
      <c r="R50" s="265"/>
    </row>
    <row r="51" spans="1:18">
      <c r="B51" s="251"/>
      <c r="C51" s="255"/>
      <c r="D51" s="267"/>
      <c r="E51" s="20"/>
      <c r="F51" s="267"/>
      <c r="G51" s="35"/>
      <c r="H51" s="30"/>
      <c r="J51" s="131"/>
    </row>
    <row r="52" spans="1:18">
      <c r="A52" s="131"/>
      <c r="C52" s="255"/>
      <c r="D52" s="267"/>
      <c r="E52" s="20"/>
      <c r="F52" s="267"/>
      <c r="G52" s="8"/>
      <c r="H52" s="167" t="s">
        <v>1641</v>
      </c>
      <c r="I52" s="8"/>
      <c r="J52" s="131"/>
    </row>
    <row r="53" spans="1:18">
      <c r="A53" s="131"/>
      <c r="B53" s="258" t="s">
        <v>1716</v>
      </c>
      <c r="C53" s="255"/>
      <c r="D53" s="267"/>
      <c r="E53" s="20"/>
      <c r="F53" s="267"/>
      <c r="G53" s="514" t="s">
        <v>597</v>
      </c>
      <c r="H53" s="514" t="s">
        <v>598</v>
      </c>
      <c r="I53" s="243" t="s">
        <v>599</v>
      </c>
      <c r="J53" s="131"/>
    </row>
    <row r="54" spans="1:18">
      <c r="A54" s="131">
        <f>A49+1</f>
        <v>213</v>
      </c>
      <c r="B54" s="251" t="s">
        <v>145</v>
      </c>
      <c r="C54" s="268" t="s">
        <v>1375</v>
      </c>
      <c r="D54" s="267"/>
      <c r="E54" s="20"/>
      <c r="F54" s="267"/>
      <c r="G54" s="512">
        <f>'24-Allocators'!C29</f>
        <v>0.16085587413428787</v>
      </c>
      <c r="H54" s="515">
        <f>'24-Allocators'!C56</f>
        <v>0.12179514612484499</v>
      </c>
      <c r="I54" s="513">
        <f>'24-Allocators'!C24</f>
        <v>9.5754660785216397E-2</v>
      </c>
      <c r="J54" s="131">
        <f>A54</f>
        <v>213</v>
      </c>
    </row>
    <row r="55" spans="1:18">
      <c r="B55" s="251"/>
      <c r="C55" s="255"/>
      <c r="D55" s="267"/>
      <c r="E55" s="20"/>
      <c r="F55" s="267"/>
      <c r="G55" s="35"/>
      <c r="J55" s="131"/>
    </row>
    <row r="56" spans="1:18" ht="29.25" customHeight="1">
      <c r="A56" s="131">
        <f>+A54+1</f>
        <v>214</v>
      </c>
      <c r="B56" s="258" t="s">
        <v>600</v>
      </c>
      <c r="C56" s="154" t="str">
        <f>"(Sum Line "&amp;A37&amp;" to Line "&amp;A49&amp;") / 13"</f>
        <v>(Sum Line 200 to Line 212) / 13</v>
      </c>
      <c r="D56" s="495">
        <f t="shared" ref="D56:I56" si="6">AVERAGE(D37:D49)</f>
        <v>662601539.51384604</v>
      </c>
      <c r="E56" s="495">
        <f t="shared" si="6"/>
        <v>12671999.135384623</v>
      </c>
      <c r="F56" s="495">
        <f t="shared" si="6"/>
        <v>649929540.37846148</v>
      </c>
      <c r="G56" s="495">
        <f t="shared" si="6"/>
        <v>14642352.508461539</v>
      </c>
      <c r="H56" s="495">
        <f t="shared" si="6"/>
        <v>438925733.67538458</v>
      </c>
      <c r="I56" s="495">
        <f t="shared" si="6"/>
        <v>196361454.19461536</v>
      </c>
      <c r="J56" s="131">
        <f>A56</f>
        <v>214</v>
      </c>
      <c r="L56" s="20"/>
    </row>
    <row r="57" spans="1:18">
      <c r="A57" s="131">
        <f>A56+1</f>
        <v>215</v>
      </c>
      <c r="B57" s="251" t="s">
        <v>601</v>
      </c>
      <c r="C57" s="27" t="str">
        <f>"Line "&amp;A54&amp;" * Line "&amp;A56&amp;""</f>
        <v>Line 213 * Line 214</v>
      </c>
      <c r="D57" s="496"/>
      <c r="E57" s="496"/>
      <c r="F57" s="496">
        <f>+G57+H57+I57</f>
        <v>74616856</v>
      </c>
      <c r="G57" s="495">
        <f>ROUND(G56*G54,0)</f>
        <v>2355308</v>
      </c>
      <c r="H57" s="495">
        <f>ROUND(H56*H54,0)</f>
        <v>53459024</v>
      </c>
      <c r="I57" s="495">
        <f>ROUND(I56*I54,0)</f>
        <v>18802524</v>
      </c>
      <c r="J57" s="131">
        <f>A57</f>
        <v>215</v>
      </c>
      <c r="L57" s="20"/>
    </row>
    <row r="58" spans="1:18">
      <c r="B58" s="251"/>
      <c r="C58" s="248"/>
      <c r="D58" s="267"/>
      <c r="E58" s="267"/>
      <c r="F58" s="267"/>
      <c r="G58" s="267"/>
      <c r="H58" s="267"/>
      <c r="I58" s="267"/>
      <c r="J58" s="131"/>
    </row>
    <row r="59" spans="1:18">
      <c r="A59" s="131">
        <f>A57+1</f>
        <v>216</v>
      </c>
      <c r="B59" s="258" t="s">
        <v>602</v>
      </c>
      <c r="C59" s="248" t="str">
        <f>"Line "&amp;A49&amp;""</f>
        <v>Line 212</v>
      </c>
      <c r="D59" s="495">
        <f t="shared" ref="D59:I59" si="7">+D49</f>
        <v>570965644.62</v>
      </c>
      <c r="E59" s="495">
        <f t="shared" si="7"/>
        <v>10875252.010000005</v>
      </c>
      <c r="F59" s="495">
        <f t="shared" si="7"/>
        <v>560090392.61000001</v>
      </c>
      <c r="G59" s="495">
        <f t="shared" si="7"/>
        <v>6464222.9500000002</v>
      </c>
      <c r="H59" s="495">
        <f t="shared" si="7"/>
        <v>391506192.60000002</v>
      </c>
      <c r="I59" s="495">
        <f t="shared" si="7"/>
        <v>162119977.06</v>
      </c>
      <c r="J59" s="131">
        <f>A59</f>
        <v>216</v>
      </c>
      <c r="L59" s="20"/>
    </row>
    <row r="60" spans="1:18">
      <c r="A60" s="131">
        <f>A59+1</f>
        <v>217</v>
      </c>
      <c r="B60" s="251" t="s">
        <v>601</v>
      </c>
      <c r="C60" s="27" t="str">
        <f>"Line "&amp;A54&amp;" * Line "&amp;A59&amp;""</f>
        <v>Line 213 * Line 216</v>
      </c>
      <c r="D60" s="495"/>
      <c r="E60" s="495"/>
      <c r="F60" s="496">
        <f>+G60+H60+I60</f>
        <v>64247105</v>
      </c>
      <c r="G60" s="495">
        <f>ROUND(G59*G54,0)</f>
        <v>1039808</v>
      </c>
      <c r="H60" s="495">
        <f>ROUND(H59*H54,0)</f>
        <v>47683554</v>
      </c>
      <c r="I60" s="495">
        <f>ROUND(I59*I54,0)</f>
        <v>15523743</v>
      </c>
      <c r="J60" s="131">
        <f>A60</f>
        <v>217</v>
      </c>
      <c r="L60" s="20"/>
    </row>
    <row r="61" spans="1:18">
      <c r="A61" s="131"/>
      <c r="B61" s="258"/>
      <c r="C61" s="255"/>
      <c r="D61" s="267"/>
      <c r="E61" s="267"/>
      <c r="F61" s="267"/>
      <c r="G61" s="267"/>
      <c r="H61" s="267"/>
      <c r="I61" s="267"/>
      <c r="J61" s="131"/>
      <c r="L61" s="20"/>
    </row>
    <row r="62" spans="1:18">
      <c r="A62" s="131"/>
      <c r="B62" s="258" t="s">
        <v>127</v>
      </c>
      <c r="C62" s="255"/>
      <c r="D62" s="267"/>
      <c r="E62" s="267"/>
      <c r="F62" s="267"/>
      <c r="G62" s="267"/>
      <c r="H62" s="267"/>
      <c r="I62" s="267"/>
      <c r="J62" s="131"/>
      <c r="L62" s="20"/>
    </row>
    <row r="63" spans="1:18">
      <c r="A63" s="131"/>
      <c r="B63" s="251" t="s">
        <v>1474</v>
      </c>
      <c r="C63" s="255"/>
      <c r="D63" s="267"/>
      <c r="E63" s="267"/>
      <c r="F63" s="267"/>
      <c r="G63" s="267"/>
      <c r="H63" s="267"/>
      <c r="I63" s="267"/>
      <c r="J63" s="131"/>
      <c r="L63" s="20"/>
    </row>
    <row r="64" spans="1:18">
      <c r="A64" s="131"/>
      <c r="B64" s="251" t="s">
        <v>603</v>
      </c>
      <c r="C64" s="255"/>
      <c r="D64" s="267"/>
      <c r="E64" s="267"/>
      <c r="F64" s="267"/>
      <c r="G64" s="267"/>
      <c r="H64" s="267"/>
      <c r="I64" s="267"/>
      <c r="J64" s="131"/>
      <c r="L64" s="20"/>
    </row>
    <row r="65" spans="1:12">
      <c r="A65" s="131"/>
      <c r="B65" s="251" t="s">
        <v>604</v>
      </c>
      <c r="C65" s="255"/>
      <c r="D65" s="267"/>
      <c r="E65" s="267"/>
      <c r="F65" s="267"/>
      <c r="G65" s="267"/>
      <c r="H65" s="267"/>
      <c r="I65" s="267"/>
      <c r="J65" s="131"/>
      <c r="L65" s="20"/>
    </row>
    <row r="66" spans="1:12">
      <c r="A66" s="131"/>
      <c r="B66" s="251" t="s">
        <v>605</v>
      </c>
      <c r="C66" s="255"/>
      <c r="D66" s="267"/>
      <c r="E66" s="267"/>
      <c r="F66" s="267"/>
      <c r="G66" s="267"/>
      <c r="H66" s="267"/>
      <c r="I66" s="267"/>
      <c r="J66" s="131"/>
      <c r="L66" s="20"/>
    </row>
    <row r="67" spans="1:12">
      <c r="A67" s="131"/>
      <c r="B67" s="251" t="s">
        <v>606</v>
      </c>
      <c r="C67" s="255"/>
      <c r="D67" s="267"/>
      <c r="E67" s="267"/>
      <c r="F67" s="267"/>
      <c r="G67" s="267"/>
      <c r="H67" s="267"/>
      <c r="I67" s="267"/>
      <c r="J67" s="131"/>
      <c r="L67" s="20"/>
    </row>
    <row r="68" spans="1:12">
      <c r="A68" s="131"/>
      <c r="B68" s="251" t="s">
        <v>607</v>
      </c>
      <c r="C68" s="255"/>
      <c r="D68" s="267"/>
      <c r="E68" s="267"/>
      <c r="F68" s="267"/>
      <c r="G68" s="267"/>
      <c r="H68" s="267"/>
      <c r="I68" s="267"/>
      <c r="J68" s="131"/>
      <c r="L68" s="20"/>
    </row>
    <row r="69" spans="1:12">
      <c r="B69" s="251" t="s">
        <v>608</v>
      </c>
    </row>
    <row r="72" spans="1:12">
      <c r="H72" s="21"/>
    </row>
    <row r="74" spans="1:12">
      <c r="H74" s="269"/>
    </row>
  </sheetData>
  <mergeCells count="3">
    <mergeCell ref="B30:I31"/>
    <mergeCell ref="G32:I32"/>
    <mergeCell ref="G35:I35"/>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3"/>
  <sheetViews>
    <sheetView view="pageBreakPreview" zoomScale="115" zoomScaleSheetLayoutView="115" workbookViewId="0">
      <selection activeCell="G62" sqref="A60:P75"/>
    </sheetView>
  </sheetViews>
  <sheetFormatPr defaultRowHeight="14.5"/>
  <cols>
    <col min="1" max="1" width="30.26953125" bestFit="1" customWidth="1"/>
    <col min="2" max="2" width="100.54296875" bestFit="1" customWidth="1"/>
  </cols>
  <sheetData>
    <row r="1" spans="1:2">
      <c r="A1" s="808" t="s">
        <v>162</v>
      </c>
      <c r="B1" s="808"/>
    </row>
    <row r="2" spans="1:2">
      <c r="A2" s="808" t="s">
        <v>242</v>
      </c>
      <c r="B2" s="808"/>
    </row>
    <row r="3" spans="1:2">
      <c r="A3" s="808" t="s">
        <v>245</v>
      </c>
      <c r="B3" s="808"/>
    </row>
    <row r="4" spans="1:2">
      <c r="A4" s="808" t="s">
        <v>246</v>
      </c>
      <c r="B4" s="808"/>
    </row>
    <row r="6" spans="1:2">
      <c r="A6" s="808" t="s">
        <v>1173</v>
      </c>
      <c r="B6" s="808"/>
    </row>
    <row r="8" spans="1:2">
      <c r="A8" s="8" t="s">
        <v>1174</v>
      </c>
      <c r="B8" s="8" t="s">
        <v>129</v>
      </c>
    </row>
    <row r="9" spans="1:2">
      <c r="A9" t="s">
        <v>1175</v>
      </c>
      <c r="B9" t="s">
        <v>1205</v>
      </c>
    </row>
    <row r="10" spans="1:2">
      <c r="A10" t="s">
        <v>1176</v>
      </c>
      <c r="B10" t="s">
        <v>153</v>
      </c>
    </row>
    <row r="11" spans="1:2">
      <c r="A11" t="s">
        <v>1177</v>
      </c>
      <c r="B11" t="s">
        <v>81</v>
      </c>
    </row>
    <row r="12" spans="1:2">
      <c r="A12" t="s">
        <v>1178</v>
      </c>
      <c r="B12" t="s">
        <v>168</v>
      </c>
    </row>
    <row r="13" spans="1:2">
      <c r="A13" t="s">
        <v>1179</v>
      </c>
      <c r="B13" t="s">
        <v>247</v>
      </c>
    </row>
    <row r="14" spans="1:2">
      <c r="A14" t="s">
        <v>1180</v>
      </c>
      <c r="B14" t="s">
        <v>269</v>
      </c>
    </row>
    <row r="15" spans="1:2">
      <c r="A15" t="s">
        <v>1181</v>
      </c>
      <c r="B15" t="s">
        <v>46</v>
      </c>
    </row>
    <row r="16" spans="1:2">
      <c r="A16" t="s">
        <v>1182</v>
      </c>
      <c r="B16" t="s">
        <v>37</v>
      </c>
    </row>
    <row r="17" spans="1:2">
      <c r="A17" t="s">
        <v>1183</v>
      </c>
      <c r="B17" t="s">
        <v>1169</v>
      </c>
    </row>
    <row r="18" spans="1:2">
      <c r="A18" t="s">
        <v>449</v>
      </c>
      <c r="B18" t="s">
        <v>345</v>
      </c>
    </row>
    <row r="19" spans="1:2">
      <c r="A19" t="s">
        <v>1184</v>
      </c>
      <c r="B19" t="s">
        <v>391</v>
      </c>
    </row>
    <row r="20" spans="1:2">
      <c r="A20" t="s">
        <v>1185</v>
      </c>
      <c r="B20" t="s">
        <v>392</v>
      </c>
    </row>
    <row r="21" spans="1:2">
      <c r="A21" t="s">
        <v>1186</v>
      </c>
      <c r="B21" t="s">
        <v>422</v>
      </c>
    </row>
    <row r="22" spans="1:2">
      <c r="A22" t="s">
        <v>1187</v>
      </c>
      <c r="B22" t="s">
        <v>433</v>
      </c>
    </row>
    <row r="23" spans="1:2">
      <c r="A23" t="s">
        <v>1188</v>
      </c>
      <c r="B23" t="s">
        <v>1206</v>
      </c>
    </row>
    <row r="24" spans="1:2">
      <c r="A24" t="s">
        <v>1189</v>
      </c>
      <c r="B24" t="s">
        <v>576</v>
      </c>
    </row>
    <row r="25" spans="1:2">
      <c r="A25" t="s">
        <v>1190</v>
      </c>
      <c r="B25" t="s">
        <v>609</v>
      </c>
    </row>
    <row r="26" spans="1:2">
      <c r="A26" t="s">
        <v>1191</v>
      </c>
      <c r="B26" t="s">
        <v>675</v>
      </c>
    </row>
    <row r="27" spans="1:2">
      <c r="A27" t="s">
        <v>1473</v>
      </c>
      <c r="B27" t="s">
        <v>1452</v>
      </c>
    </row>
    <row r="28" spans="1:2">
      <c r="A28" t="s">
        <v>1631</v>
      </c>
      <c r="B28" t="s">
        <v>725</v>
      </c>
    </row>
    <row r="29" spans="1:2">
      <c r="A29" t="s">
        <v>1632</v>
      </c>
      <c r="B29" t="s">
        <v>1869</v>
      </c>
    </row>
    <row r="30" spans="1:2">
      <c r="A30" t="s">
        <v>1870</v>
      </c>
      <c r="B30" t="s">
        <v>1869</v>
      </c>
    </row>
    <row r="31" spans="1:2">
      <c r="A31" t="s">
        <v>1192</v>
      </c>
      <c r="B31" t="s">
        <v>754</v>
      </c>
    </row>
    <row r="32" spans="1:2">
      <c r="A32" t="s">
        <v>1193</v>
      </c>
      <c r="B32" t="s">
        <v>808</v>
      </c>
    </row>
    <row r="33" spans="1:2">
      <c r="A33" t="s">
        <v>1194</v>
      </c>
      <c r="B33" t="s">
        <v>70</v>
      </c>
    </row>
    <row r="34" spans="1:2">
      <c r="A34" t="s">
        <v>1195</v>
      </c>
      <c r="B34" t="s">
        <v>878</v>
      </c>
    </row>
    <row r="35" spans="1:2">
      <c r="A35" t="s">
        <v>1196</v>
      </c>
      <c r="B35" t="s">
        <v>882</v>
      </c>
    </row>
    <row r="36" spans="1:2">
      <c r="A36" t="s">
        <v>1197</v>
      </c>
      <c r="B36" t="s">
        <v>891</v>
      </c>
    </row>
    <row r="37" spans="1:2">
      <c r="A37" t="s">
        <v>1198</v>
      </c>
      <c r="B37" t="s">
        <v>916</v>
      </c>
    </row>
    <row r="38" spans="1:2">
      <c r="A38" t="s">
        <v>1199</v>
      </c>
      <c r="B38" t="s">
        <v>926</v>
      </c>
    </row>
    <row r="39" spans="1:2">
      <c r="A39" t="s">
        <v>1200</v>
      </c>
      <c r="B39" t="s">
        <v>937</v>
      </c>
    </row>
    <row r="40" spans="1:2">
      <c r="A40" t="s">
        <v>1201</v>
      </c>
      <c r="B40" t="s">
        <v>945</v>
      </c>
    </row>
    <row r="41" spans="1:2">
      <c r="A41" t="s">
        <v>1202</v>
      </c>
      <c r="B41" t="s">
        <v>951</v>
      </c>
    </row>
    <row r="42" spans="1:2">
      <c r="A42" t="s">
        <v>1203</v>
      </c>
      <c r="B42" t="s">
        <v>1135</v>
      </c>
    </row>
    <row r="43" spans="1:2">
      <c r="A43" t="s">
        <v>1204</v>
      </c>
      <c r="B43" t="s">
        <v>1006</v>
      </c>
    </row>
  </sheetData>
  <mergeCells count="5">
    <mergeCell ref="A6:B6"/>
    <mergeCell ref="A1:B1"/>
    <mergeCell ref="A2:B2"/>
    <mergeCell ref="A3:B3"/>
    <mergeCell ref="A4:B4"/>
  </mergeCells>
  <printOptions horizontalCentered="1"/>
  <pageMargins left="1" right="1" top="1" bottom="1" header="0.5" footer="0.5"/>
  <pageSetup scale="88" fitToHeight="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188"/>
  <sheetViews>
    <sheetView tabSelected="1" view="pageBreakPreview" topLeftCell="B148" zoomScale="55" zoomScaleNormal="70" zoomScaleSheetLayoutView="55" zoomScalePageLayoutView="55" workbookViewId="0">
      <selection activeCell="P108" sqref="P108"/>
    </sheetView>
  </sheetViews>
  <sheetFormatPr defaultColWidth="9.1796875" defaultRowHeight="14.5"/>
  <cols>
    <col min="1" max="1" width="6.7265625" bestFit="1" customWidth="1"/>
    <col min="2" max="2" width="9.54296875" customWidth="1"/>
    <col min="3" max="3" width="54.453125" customWidth="1"/>
    <col min="4" max="4" width="25.1796875" customWidth="1"/>
    <col min="5" max="5" width="28.26953125" customWidth="1"/>
    <col min="6" max="6" width="30.1796875" customWidth="1"/>
    <col min="7" max="7" width="25.26953125" customWidth="1"/>
    <col min="8" max="8" width="22.26953125" customWidth="1"/>
    <col min="9" max="9" width="53.54296875" bestFit="1" customWidth="1"/>
    <col min="10" max="10" width="34.7265625" customWidth="1"/>
    <col min="11" max="11" width="19.26953125" bestFit="1" customWidth="1"/>
    <col min="12" max="12" width="15" customWidth="1"/>
    <col min="13" max="13" width="18.7265625" customWidth="1"/>
    <col min="14" max="16" width="9.1796875" customWidth="1"/>
    <col min="17" max="17" width="11.453125" bestFit="1" customWidth="1"/>
  </cols>
  <sheetData>
    <row r="1" spans="1:14">
      <c r="B1" s="12" t="s">
        <v>609</v>
      </c>
      <c r="I1" s="15"/>
      <c r="M1" s="15" t="str">
        <f>CONCATENATE("Prior Year: ",'1-BaseTRR'!$F$2)</f>
        <v>Prior Year: 2022</v>
      </c>
    </row>
    <row r="2" spans="1:14">
      <c r="B2" s="117" t="s">
        <v>196</v>
      </c>
      <c r="C2" s="270"/>
      <c r="I2" s="15"/>
      <c r="J2" s="15"/>
    </row>
    <row r="3" spans="1:14">
      <c r="B3" s="142"/>
      <c r="C3" s="176"/>
      <c r="D3" s="176"/>
    </row>
    <row r="4" spans="1:14">
      <c r="B4" s="179" t="s">
        <v>610</v>
      </c>
      <c r="C4" s="180"/>
      <c r="D4" s="180"/>
      <c r="E4" s="54"/>
      <c r="F4" s="54"/>
      <c r="G4" s="54"/>
      <c r="H4" s="54"/>
      <c r="I4" s="54"/>
      <c r="J4" s="54"/>
      <c r="K4" s="54"/>
      <c r="L4" s="54"/>
      <c r="M4" s="54"/>
    </row>
    <row r="5" spans="1:14">
      <c r="B5" s="271" t="s">
        <v>611</v>
      </c>
      <c r="C5" s="176"/>
      <c r="D5" s="176"/>
    </row>
    <row r="6" spans="1:14">
      <c r="B6" s="177"/>
      <c r="C6" s="122" t="s">
        <v>100</v>
      </c>
      <c r="D6" s="122" t="s">
        <v>101</v>
      </c>
      <c r="E6" s="122" t="s">
        <v>102</v>
      </c>
    </row>
    <row r="7" spans="1:14">
      <c r="C7" s="176"/>
    </row>
    <row r="8" spans="1:14">
      <c r="A8" s="119" t="s">
        <v>124</v>
      </c>
      <c r="B8" s="177"/>
      <c r="C8" s="16" t="s">
        <v>612</v>
      </c>
      <c r="D8" s="119" t="s">
        <v>613</v>
      </c>
      <c r="E8" s="13" t="s">
        <v>54</v>
      </c>
      <c r="N8" s="119" t="str">
        <f t="shared" ref="N8:N13" si="0">A8</f>
        <v>Line</v>
      </c>
    </row>
    <row r="9" spans="1:14">
      <c r="A9" s="131">
        <v>100</v>
      </c>
      <c r="B9" s="177"/>
      <c r="C9" s="17" t="s">
        <v>614</v>
      </c>
      <c r="D9" s="424">
        <f>+D45</f>
        <v>512503867.28821051</v>
      </c>
      <c r="E9" s="18" t="str">
        <f>"Line "&amp;A45&amp;", Col. 2"</f>
        <v>Line 212, Col. 2</v>
      </c>
      <c r="N9" s="8">
        <f t="shared" si="0"/>
        <v>100</v>
      </c>
    </row>
    <row r="10" spans="1:14">
      <c r="A10" s="131">
        <f>A9+1</f>
        <v>101</v>
      </c>
      <c r="B10" s="177"/>
      <c r="C10" s="17" t="s">
        <v>615</v>
      </c>
      <c r="D10" s="424">
        <f>+D64</f>
        <v>-2074332357.7727153</v>
      </c>
      <c r="E10" s="18" t="str">
        <f>"Line "&amp;A64&amp;", Col. 2"</f>
        <v>Line 309, Col. 2</v>
      </c>
      <c r="N10" s="8">
        <f t="shared" si="0"/>
        <v>101</v>
      </c>
    </row>
    <row r="11" spans="1:14">
      <c r="A11" s="131">
        <f>A10+1</f>
        <v>102</v>
      </c>
      <c r="B11" s="177"/>
      <c r="C11" s="17" t="s">
        <v>616</v>
      </c>
      <c r="D11" s="424">
        <f>+D83</f>
        <v>0</v>
      </c>
      <c r="E11" s="18" t="str">
        <f>"Line "&amp;A83&amp;", Col. 2"</f>
        <v>Line 406, Col. 2</v>
      </c>
      <c r="I11" s="241"/>
      <c r="N11" s="8">
        <f t="shared" si="0"/>
        <v>102</v>
      </c>
    </row>
    <row r="12" spans="1:14">
      <c r="A12" s="131">
        <f>A11+1</f>
        <v>103</v>
      </c>
      <c r="B12" s="177"/>
      <c r="C12" s="17" t="s">
        <v>617</v>
      </c>
      <c r="D12" s="424">
        <f>+D99</f>
        <v>-4007558.0750401057</v>
      </c>
      <c r="E12" s="18" t="str">
        <f>"Line "&amp;A99&amp;", Col. 2"</f>
        <v>Line 505, Col. 2</v>
      </c>
      <c r="I12" s="241"/>
      <c r="N12" s="8">
        <f t="shared" si="0"/>
        <v>103</v>
      </c>
    </row>
    <row r="13" spans="1:14">
      <c r="A13" s="131">
        <f>A12+1</f>
        <v>104</v>
      </c>
      <c r="B13" s="177"/>
      <c r="C13" s="17" t="s">
        <v>618</v>
      </c>
      <c r="D13" s="425">
        <f>SUM(D9:D12)</f>
        <v>-1565836048.5595448</v>
      </c>
      <c r="E13" s="272" t="str">
        <f>"Sum of Lines "&amp;A9&amp;" to "&amp;A12&amp;""</f>
        <v>Sum of Lines 100 to 103</v>
      </c>
      <c r="N13" s="8">
        <f t="shared" si="0"/>
        <v>104</v>
      </c>
    </row>
    <row r="14" spans="1:14">
      <c r="A14" s="131"/>
      <c r="B14" s="177"/>
      <c r="G14" s="273"/>
      <c r="H14" s="35"/>
      <c r="I14" s="241"/>
      <c r="N14" s="8"/>
    </row>
    <row r="15" spans="1:14">
      <c r="A15" s="131"/>
      <c r="B15" s="271" t="s">
        <v>619</v>
      </c>
      <c r="G15" s="241"/>
      <c r="H15" s="274"/>
      <c r="I15" s="241"/>
      <c r="N15" s="8"/>
    </row>
    <row r="16" spans="1:14">
      <c r="A16" s="131"/>
      <c r="B16" s="177"/>
      <c r="D16" s="119" t="s">
        <v>620</v>
      </c>
      <c r="E16" s="13" t="s">
        <v>54</v>
      </c>
      <c r="G16" s="275"/>
      <c r="H16" s="241"/>
      <c r="I16" s="241"/>
      <c r="N16" s="8"/>
    </row>
    <row r="17" spans="1:14" ht="15" thickBot="1">
      <c r="A17" s="131">
        <f>A13+1</f>
        <v>105</v>
      </c>
      <c r="B17" s="177"/>
      <c r="C17" s="17" t="s">
        <v>618</v>
      </c>
      <c r="D17" s="696">
        <v>-1508728940.0507171</v>
      </c>
      <c r="E17" s="35" t="s">
        <v>1332</v>
      </c>
      <c r="G17" s="241"/>
      <c r="H17" s="241"/>
      <c r="I17" s="241"/>
      <c r="N17" s="8">
        <f>A17</f>
        <v>105</v>
      </c>
    </row>
    <row r="18" spans="1:14" ht="15" thickTop="1">
      <c r="A18" s="131"/>
      <c r="B18" s="177"/>
      <c r="F18" s="241"/>
      <c r="G18" s="241"/>
      <c r="H18" s="241"/>
      <c r="I18" s="241"/>
      <c r="N18" s="8"/>
    </row>
    <row r="19" spans="1:14">
      <c r="A19" s="131"/>
      <c r="B19" s="271" t="s">
        <v>621</v>
      </c>
      <c r="F19" s="241"/>
      <c r="G19" s="241"/>
      <c r="H19" s="241"/>
      <c r="I19" s="241"/>
      <c r="N19" s="8"/>
    </row>
    <row r="20" spans="1:14">
      <c r="A20" s="131"/>
      <c r="B20" s="176"/>
      <c r="D20" s="119" t="s">
        <v>622</v>
      </c>
      <c r="E20" s="13" t="s">
        <v>54</v>
      </c>
      <c r="G20" s="275"/>
      <c r="N20" s="8"/>
    </row>
    <row r="21" spans="1:14">
      <c r="A21" s="131">
        <f>A17+1</f>
        <v>106</v>
      </c>
      <c r="B21" s="176"/>
      <c r="C21" s="195" t="s">
        <v>623</v>
      </c>
      <c r="D21" s="440">
        <f>J124</f>
        <v>-1535183351.7320898</v>
      </c>
      <c r="E21" s="18" t="str">
        <f>"Line "&amp;A124&amp;", Col. 8"</f>
        <v>Line 614, Col. 8</v>
      </c>
      <c r="G21" s="241"/>
      <c r="N21" s="8">
        <f>A21</f>
        <v>106</v>
      </c>
    </row>
    <row r="22" spans="1:14">
      <c r="A22" s="131">
        <f>+A21+1</f>
        <v>107</v>
      </c>
      <c r="B22" s="176"/>
      <c r="C22" s="195" t="s">
        <v>1666</v>
      </c>
      <c r="D22" s="673">
        <v>0</v>
      </c>
      <c r="E22" s="18" t="s">
        <v>1668</v>
      </c>
      <c r="G22" s="241"/>
      <c r="N22" s="8">
        <f t="shared" ref="N22:N23" si="1">A22</f>
        <v>107</v>
      </c>
    </row>
    <row r="23" spans="1:14" ht="15" thickBot="1">
      <c r="A23" s="131">
        <f>+A22+1</f>
        <v>108</v>
      </c>
      <c r="B23" s="176"/>
      <c r="C23" s="195" t="s">
        <v>1667</v>
      </c>
      <c r="D23" s="674">
        <f>SUM(D21:D22)</f>
        <v>-1535183351.7320898</v>
      </c>
      <c r="E23" s="18" t="s">
        <v>1669</v>
      </c>
      <c r="G23" s="241"/>
      <c r="N23" s="8">
        <f t="shared" si="1"/>
        <v>108</v>
      </c>
    </row>
    <row r="24" spans="1:14" ht="15" thickTop="1">
      <c r="A24" s="131"/>
      <c r="B24" s="176"/>
      <c r="C24" s="195"/>
      <c r="D24" s="440"/>
      <c r="E24" s="18"/>
      <c r="G24" s="241"/>
      <c r="N24" s="8"/>
    </row>
    <row r="25" spans="1:14">
      <c r="A25" s="131"/>
      <c r="B25" s="176"/>
      <c r="C25" s="195"/>
      <c r="D25" s="440"/>
      <c r="E25" s="18"/>
      <c r="G25" s="241"/>
      <c r="N25" s="8"/>
    </row>
    <row r="26" spans="1:14">
      <c r="A26" s="131"/>
      <c r="B26" s="176"/>
      <c r="C26" s="276"/>
      <c r="D26" s="277"/>
      <c r="N26" s="8"/>
    </row>
    <row r="27" spans="1:14">
      <c r="A27" s="131"/>
      <c r="B27" s="179" t="s">
        <v>624</v>
      </c>
      <c r="C27" s="278"/>
      <c r="D27" s="279"/>
      <c r="E27" s="54"/>
      <c r="F27" s="54"/>
      <c r="G27" s="54"/>
      <c r="H27" s="54"/>
      <c r="I27" s="54"/>
      <c r="J27" s="54"/>
      <c r="K27" s="54"/>
      <c r="L27" s="54"/>
      <c r="M27" s="54"/>
      <c r="N27" s="30"/>
    </row>
    <row r="28" spans="1:14">
      <c r="A28" s="131"/>
      <c r="B28" s="177"/>
      <c r="C28" s="122" t="s">
        <v>100</v>
      </c>
      <c r="D28" s="122" t="s">
        <v>101</v>
      </c>
      <c r="E28" s="122" t="s">
        <v>102</v>
      </c>
      <c r="F28" s="122" t="s">
        <v>103</v>
      </c>
      <c r="G28" s="122" t="s">
        <v>104</v>
      </c>
      <c r="H28" s="122" t="s">
        <v>105</v>
      </c>
      <c r="I28" s="122" t="s">
        <v>106</v>
      </c>
      <c r="N28" s="30"/>
    </row>
    <row r="29" spans="1:14">
      <c r="A29" s="27"/>
      <c r="B29" s="1"/>
      <c r="C29" s="1"/>
      <c r="D29" s="1" t="s">
        <v>1296</v>
      </c>
      <c r="E29" s="1" t="s">
        <v>1723</v>
      </c>
      <c r="F29" s="1"/>
      <c r="G29" s="1" t="s">
        <v>441</v>
      </c>
      <c r="H29" s="1" t="s">
        <v>1720</v>
      </c>
      <c r="I29" s="280"/>
      <c r="N29" s="30"/>
    </row>
    <row r="30" spans="1:14">
      <c r="A30" s="119" t="s">
        <v>124</v>
      </c>
      <c r="B30" s="281" t="s">
        <v>626</v>
      </c>
      <c r="C30" s="281" t="s">
        <v>627</v>
      </c>
      <c r="D30" s="281" t="s">
        <v>1295</v>
      </c>
      <c r="E30" s="281" t="s">
        <v>1724</v>
      </c>
      <c r="F30" s="281" t="s">
        <v>628</v>
      </c>
      <c r="G30" s="281" t="s">
        <v>629</v>
      </c>
      <c r="H30" s="281" t="s">
        <v>630</v>
      </c>
      <c r="I30" s="281" t="s">
        <v>129</v>
      </c>
      <c r="J30" s="1" t="s">
        <v>301</v>
      </c>
      <c r="N30" s="119" t="str">
        <f>A30</f>
        <v>Line</v>
      </c>
    </row>
    <row r="31" spans="1:14">
      <c r="A31" s="131"/>
      <c r="B31" s="176" t="s">
        <v>631</v>
      </c>
      <c r="C31" s="176"/>
      <c r="D31" s="176"/>
      <c r="N31" s="8"/>
    </row>
    <row r="32" spans="1:14">
      <c r="A32" s="131">
        <v>200</v>
      </c>
      <c r="B32" s="282">
        <v>190</v>
      </c>
      <c r="C32" s="270" t="s">
        <v>1910</v>
      </c>
      <c r="D32" s="635">
        <f t="shared" ref="D32:D41" si="2">SUM(E32:H32)</f>
        <v>-265747491</v>
      </c>
      <c r="E32" s="426">
        <v>-265747491</v>
      </c>
      <c r="F32" s="352"/>
      <c r="G32" s="427"/>
      <c r="H32" s="427"/>
      <c r="I32" s="283" t="s">
        <v>1917</v>
      </c>
      <c r="J32" s="35" t="s">
        <v>1315</v>
      </c>
      <c r="N32" s="8">
        <f t="shared" ref="N32:N41" si="3">A32</f>
        <v>200</v>
      </c>
    </row>
    <row r="33" spans="1:14">
      <c r="A33" s="131">
        <f t="shared" ref="A33:A41" si="4">A32+1</f>
        <v>201</v>
      </c>
      <c r="B33" s="282">
        <v>190</v>
      </c>
      <c r="C33" s="270" t="s">
        <v>1911</v>
      </c>
      <c r="D33" s="635">
        <f t="shared" si="2"/>
        <v>51907982</v>
      </c>
      <c r="E33" s="426">
        <v>51907982</v>
      </c>
      <c r="F33" s="352"/>
      <c r="G33" s="427"/>
      <c r="H33" s="427"/>
      <c r="I33" s="283" t="s">
        <v>1917</v>
      </c>
      <c r="J33" s="35" t="s">
        <v>1316</v>
      </c>
      <c r="N33" s="8">
        <f t="shared" si="3"/>
        <v>201</v>
      </c>
    </row>
    <row r="34" spans="1:14">
      <c r="A34" s="131">
        <f t="shared" si="4"/>
        <v>202</v>
      </c>
      <c r="B34" s="282">
        <v>190</v>
      </c>
      <c r="C34" s="270" t="s">
        <v>1912</v>
      </c>
      <c r="D34" s="635">
        <f t="shared" si="2"/>
        <v>38055369</v>
      </c>
      <c r="E34" s="426">
        <v>11199258</v>
      </c>
      <c r="F34" s="352"/>
      <c r="G34" s="427"/>
      <c r="H34" s="427">
        <v>26856111</v>
      </c>
      <c r="I34" s="283" t="s">
        <v>1918</v>
      </c>
      <c r="J34" s="35" t="s">
        <v>1317</v>
      </c>
      <c r="N34" s="8">
        <f t="shared" si="3"/>
        <v>202</v>
      </c>
    </row>
    <row r="35" spans="1:14">
      <c r="A35" s="131">
        <f t="shared" si="4"/>
        <v>203</v>
      </c>
      <c r="B35" s="282">
        <v>190</v>
      </c>
      <c r="C35" s="270" t="s">
        <v>1913</v>
      </c>
      <c r="D35" s="635">
        <f t="shared" si="2"/>
        <v>67177504</v>
      </c>
      <c r="E35" s="426">
        <v>67177504</v>
      </c>
      <c r="F35" s="427"/>
      <c r="G35" s="427"/>
      <c r="H35" s="427"/>
      <c r="I35" s="283" t="s">
        <v>1917</v>
      </c>
      <c r="J35" s="35" t="s">
        <v>1318</v>
      </c>
      <c r="N35" s="8">
        <f t="shared" si="3"/>
        <v>203</v>
      </c>
    </row>
    <row r="36" spans="1:14">
      <c r="A36" s="131">
        <f t="shared" si="4"/>
        <v>204</v>
      </c>
      <c r="B36" s="282">
        <v>190</v>
      </c>
      <c r="C36" s="270" t="s">
        <v>632</v>
      </c>
      <c r="D36" s="635">
        <f t="shared" si="2"/>
        <v>1326120555</v>
      </c>
      <c r="E36" s="426">
        <v>1326120555</v>
      </c>
      <c r="F36" s="352"/>
      <c r="G36" s="427"/>
      <c r="H36" s="427"/>
      <c r="I36" s="283" t="s">
        <v>1917</v>
      </c>
      <c r="J36" s="35" t="s">
        <v>1319</v>
      </c>
      <c r="N36" s="8">
        <f t="shared" si="3"/>
        <v>204</v>
      </c>
    </row>
    <row r="37" spans="1:14" ht="15.75" customHeight="1">
      <c r="A37" s="131">
        <f t="shared" si="4"/>
        <v>205</v>
      </c>
      <c r="B37" s="282">
        <v>190</v>
      </c>
      <c r="C37" s="270" t="s">
        <v>1914</v>
      </c>
      <c r="D37" s="635">
        <f t="shared" si="2"/>
        <v>-352127944</v>
      </c>
      <c r="E37" s="426">
        <v>-351823303</v>
      </c>
      <c r="F37" s="352"/>
      <c r="G37" s="427">
        <v>-304641</v>
      </c>
      <c r="H37" s="427"/>
      <c r="I37" s="283" t="s">
        <v>1918</v>
      </c>
      <c r="J37" s="35" t="s">
        <v>1320</v>
      </c>
      <c r="N37" s="8">
        <f t="shared" si="3"/>
        <v>205</v>
      </c>
    </row>
    <row r="38" spans="1:14">
      <c r="A38" s="131">
        <f t="shared" si="4"/>
        <v>206</v>
      </c>
      <c r="B38" s="282">
        <v>190</v>
      </c>
      <c r="C38" s="270" t="s">
        <v>1915</v>
      </c>
      <c r="D38" s="635">
        <f t="shared" si="2"/>
        <v>7266371518</v>
      </c>
      <c r="E38" s="426">
        <f>7266371518-F38</f>
        <v>6773217926.010767</v>
      </c>
      <c r="F38" s="444">
        <f>493153.591989233*1000</f>
        <v>493153591.98923296</v>
      </c>
      <c r="G38" s="427"/>
      <c r="H38" s="427"/>
      <c r="I38" s="283" t="s">
        <v>1919</v>
      </c>
      <c r="J38" s="35" t="s">
        <v>1433</v>
      </c>
      <c r="N38" s="8">
        <f t="shared" si="3"/>
        <v>206</v>
      </c>
    </row>
    <row r="39" spans="1:14">
      <c r="A39" s="131">
        <f t="shared" si="4"/>
        <v>207</v>
      </c>
      <c r="B39" s="282">
        <v>190</v>
      </c>
      <c r="C39" s="270" t="s">
        <v>1916</v>
      </c>
      <c r="D39" s="635">
        <f t="shared" si="2"/>
        <v>0</v>
      </c>
      <c r="E39" s="426">
        <v>0</v>
      </c>
      <c r="F39" s="352"/>
      <c r="G39" s="427"/>
      <c r="H39" s="427"/>
      <c r="I39" s="283" t="s">
        <v>1917</v>
      </c>
      <c r="J39" s="35" t="s">
        <v>1321</v>
      </c>
      <c r="N39" s="8">
        <f t="shared" si="3"/>
        <v>207</v>
      </c>
    </row>
    <row r="40" spans="1:14">
      <c r="A40" s="131">
        <f t="shared" si="4"/>
        <v>208</v>
      </c>
      <c r="B40" s="282">
        <v>190</v>
      </c>
      <c r="C40" s="270" t="s">
        <v>1848</v>
      </c>
      <c r="D40" s="635">
        <f t="shared" si="2"/>
        <v>-80712788</v>
      </c>
      <c r="E40" s="426">
        <v>-20128773</v>
      </c>
      <c r="F40" s="352"/>
      <c r="G40" s="427">
        <v>-60584015</v>
      </c>
      <c r="H40" s="427"/>
      <c r="I40" s="283" t="s">
        <v>1918</v>
      </c>
      <c r="J40" s="35" t="s">
        <v>1322</v>
      </c>
      <c r="N40" s="8">
        <f t="shared" si="3"/>
        <v>208</v>
      </c>
    </row>
    <row r="41" spans="1:14">
      <c r="A41" s="131">
        <f t="shared" si="4"/>
        <v>209</v>
      </c>
      <c r="B41" s="282">
        <v>190</v>
      </c>
      <c r="C41" s="270" t="s">
        <v>85</v>
      </c>
      <c r="D41" s="635">
        <f t="shared" si="2"/>
        <v>2152134507</v>
      </c>
      <c r="E41" s="426">
        <f>2152134507-F41</f>
        <v>2123212884.4353395</v>
      </c>
      <c r="F41" s="352">
        <v>28921622.564660646</v>
      </c>
      <c r="G41" s="427"/>
      <c r="H41" s="427"/>
      <c r="I41" s="283" t="s">
        <v>1918</v>
      </c>
      <c r="J41" s="35" t="s">
        <v>1323</v>
      </c>
      <c r="N41" s="8">
        <f t="shared" si="3"/>
        <v>209</v>
      </c>
    </row>
    <row r="42" spans="1:14">
      <c r="A42" s="131"/>
      <c r="B42" s="284"/>
      <c r="C42" s="176"/>
      <c r="D42" s="183"/>
      <c r="E42" s="20"/>
      <c r="F42" s="20"/>
      <c r="G42" s="20"/>
      <c r="H42" s="20"/>
      <c r="I42" s="13"/>
      <c r="N42" s="8"/>
    </row>
    <row r="43" spans="1:14">
      <c r="A43" s="131">
        <f>+A41+1</f>
        <v>210</v>
      </c>
      <c r="B43" s="176"/>
      <c r="C43" s="176" t="s">
        <v>633</v>
      </c>
      <c r="D43" s="428">
        <f>SUM(D32:D41)</f>
        <v>10203179212</v>
      </c>
      <c r="E43" s="428">
        <f>SUM(E32:E41)</f>
        <v>9715136542.446106</v>
      </c>
      <c r="F43" s="429">
        <f>SUM(F32:F41)</f>
        <v>522075214.55389363</v>
      </c>
      <c r="G43" s="429">
        <f>SUM(G32:G41)</f>
        <v>-60888656</v>
      </c>
      <c r="H43" s="429">
        <f>SUM(H32:H41)</f>
        <v>26856111</v>
      </c>
      <c r="I43" s="35" t="str">
        <f>"Sum of Above Lines beginning on Line "&amp;A32&amp;""</f>
        <v>Sum of Above Lines beginning on Line 200</v>
      </c>
      <c r="N43" s="8">
        <f>A43</f>
        <v>210</v>
      </c>
    </row>
    <row r="44" spans="1:14">
      <c r="A44" s="131">
        <f>A43+1</f>
        <v>211</v>
      </c>
      <c r="B44" s="176"/>
      <c r="C44" s="176" t="s">
        <v>634</v>
      </c>
      <c r="D44" s="286"/>
      <c r="E44" s="286">
        <f>+D48-D43</f>
        <v>0</v>
      </c>
      <c r="F44" s="286"/>
      <c r="G44" s="309">
        <f>'24-Allocators'!C33</f>
        <v>0.21691306018708681</v>
      </c>
      <c r="H44" s="309">
        <f>'24-Allocators'!C23</f>
        <v>0.13539553206179952</v>
      </c>
      <c r="I44" s="287" t="s">
        <v>1278</v>
      </c>
      <c r="N44" s="8">
        <f>A44</f>
        <v>211</v>
      </c>
    </row>
    <row r="45" spans="1:14">
      <c r="A45" s="131">
        <f>+A44+1</f>
        <v>212</v>
      </c>
      <c r="B45" s="176"/>
      <c r="C45" s="177" t="s">
        <v>635</v>
      </c>
      <c r="D45" s="549">
        <f>SUM(F45:H45)</f>
        <v>512503867.28821051</v>
      </c>
      <c r="E45" s="429"/>
      <c r="F45" s="430">
        <f>+F43</f>
        <v>522075214.55389363</v>
      </c>
      <c r="G45" s="430">
        <f>+G43*G44</f>
        <v>-13207544.703638824</v>
      </c>
      <c r="H45" s="430">
        <f>+H43*H44</f>
        <v>3636197.4379557469</v>
      </c>
      <c r="I45" s="289" t="str">
        <f>CONCATENATE("Line ",A43," * ","Line ",A44," for Cols 5 and 6")</f>
        <v>Line 210 * Line 211 for Cols 5 and 6</v>
      </c>
      <c r="N45" s="8">
        <f>A45</f>
        <v>212</v>
      </c>
    </row>
    <row r="46" spans="1:14">
      <c r="A46" s="131"/>
      <c r="B46" s="176"/>
      <c r="C46" s="290" t="s">
        <v>636</v>
      </c>
      <c r="D46" s="286"/>
      <c r="E46" s="286"/>
      <c r="F46" s="286"/>
      <c r="G46" s="286"/>
      <c r="H46" s="286"/>
      <c r="I46" s="289"/>
      <c r="N46" s="8"/>
    </row>
    <row r="47" spans="1:14">
      <c r="A47" s="131"/>
      <c r="B47" s="176"/>
      <c r="C47" s="176"/>
      <c r="D47" s="285"/>
      <c r="E47" s="286"/>
      <c r="F47" s="286"/>
      <c r="G47" s="286"/>
      <c r="H47" s="286"/>
      <c r="I47" s="289"/>
      <c r="N47" s="8"/>
    </row>
    <row r="48" spans="1:14">
      <c r="A48" s="131">
        <f>+A45+1</f>
        <v>213</v>
      </c>
      <c r="B48" s="176"/>
      <c r="C48" s="176" t="s">
        <v>637</v>
      </c>
      <c r="D48" s="431">
        <v>10203179212</v>
      </c>
      <c r="E48" s="291" t="str">
        <f>CONCATENATE("Must match amount on Line ",A43," ",D28)</f>
        <v>Must match amount on Line 210 Col 2</v>
      </c>
      <c r="G48" s="286"/>
      <c r="H48" s="286"/>
      <c r="J48" s="289" t="s">
        <v>1279</v>
      </c>
      <c r="N48" s="8">
        <f>A48</f>
        <v>213</v>
      </c>
    </row>
    <row r="49" spans="1:14">
      <c r="A49" s="131"/>
      <c r="B49" s="176"/>
      <c r="C49" s="176"/>
      <c r="D49" s="292"/>
      <c r="E49" s="292"/>
      <c r="F49" s="292"/>
      <c r="G49" s="292"/>
      <c r="H49" s="292"/>
      <c r="I49" s="236"/>
      <c r="N49" s="8"/>
    </row>
    <row r="50" spans="1:14">
      <c r="A50" s="27"/>
      <c r="B50" s="179" t="s">
        <v>638</v>
      </c>
      <c r="C50" s="293"/>
      <c r="D50" s="294"/>
      <c r="E50" s="54"/>
      <c r="F50" s="54"/>
      <c r="G50" s="54"/>
      <c r="H50" s="54"/>
      <c r="I50" s="54"/>
      <c r="J50" s="54"/>
      <c r="K50" s="54"/>
      <c r="L50" s="54"/>
      <c r="M50" s="54"/>
      <c r="N50" s="8"/>
    </row>
    <row r="51" spans="1:14">
      <c r="A51" s="27"/>
      <c r="C51" s="122" t="s">
        <v>100</v>
      </c>
      <c r="D51" s="122" t="s">
        <v>101</v>
      </c>
      <c r="E51" s="122" t="s">
        <v>102</v>
      </c>
      <c r="F51" s="122" t="s">
        <v>103</v>
      </c>
      <c r="G51" s="122" t="s">
        <v>104</v>
      </c>
      <c r="H51" s="122" t="s">
        <v>105</v>
      </c>
      <c r="I51" s="122" t="s">
        <v>106</v>
      </c>
      <c r="N51" s="8"/>
    </row>
    <row r="52" spans="1:14">
      <c r="A52" s="27"/>
      <c r="B52" s="1"/>
      <c r="C52" s="1"/>
      <c r="D52" s="1" t="s">
        <v>1296</v>
      </c>
      <c r="E52" s="1" t="s">
        <v>1723</v>
      </c>
      <c r="F52" s="1"/>
      <c r="G52" s="1" t="s">
        <v>1721</v>
      </c>
      <c r="H52" s="1" t="s">
        <v>1722</v>
      </c>
      <c r="I52" s="280"/>
      <c r="N52" s="8"/>
    </row>
    <row r="53" spans="1:14">
      <c r="A53" s="119" t="s">
        <v>124</v>
      </c>
      <c r="B53" s="281" t="s">
        <v>639</v>
      </c>
      <c r="C53" s="281" t="s">
        <v>627</v>
      </c>
      <c r="D53" s="281" t="s">
        <v>1295</v>
      </c>
      <c r="E53" s="281" t="s">
        <v>1724</v>
      </c>
      <c r="F53" s="281" t="s">
        <v>628</v>
      </c>
      <c r="G53" s="281" t="s">
        <v>629</v>
      </c>
      <c r="H53" s="281" t="s">
        <v>630</v>
      </c>
      <c r="I53" s="281" t="s">
        <v>129</v>
      </c>
      <c r="N53" s="119" t="str">
        <f t="shared" ref="N53:N60" si="5">A53</f>
        <v>Line</v>
      </c>
    </row>
    <row r="54" spans="1:14">
      <c r="A54" s="131">
        <v>300</v>
      </c>
      <c r="B54" s="295">
        <v>282</v>
      </c>
      <c r="C54" s="91" t="s">
        <v>1920</v>
      </c>
      <c r="D54" s="636">
        <f t="shared" ref="D54:D60" si="6">SUM(E54:H54)</f>
        <v>-2095571016</v>
      </c>
      <c r="E54" s="427"/>
      <c r="F54" s="427">
        <v>-2095571016</v>
      </c>
      <c r="G54" s="427"/>
      <c r="H54" s="427"/>
      <c r="I54" s="283" t="s">
        <v>1919</v>
      </c>
      <c r="J54" s="35" t="s">
        <v>1324</v>
      </c>
      <c r="N54" s="8">
        <f t="shared" si="5"/>
        <v>300</v>
      </c>
    </row>
    <row r="55" spans="1:14">
      <c r="A55" s="131">
        <f t="shared" ref="A55:A60" si="7">A54+1</f>
        <v>301</v>
      </c>
      <c r="B55" s="295">
        <v>282</v>
      </c>
      <c r="C55" s="91" t="s">
        <v>1921</v>
      </c>
      <c r="D55" s="636">
        <f t="shared" si="6"/>
        <v>-8034316898</v>
      </c>
      <c r="E55" s="427">
        <v>-8034316898</v>
      </c>
      <c r="F55" s="427"/>
      <c r="G55" s="427"/>
      <c r="H55" s="427"/>
      <c r="I55" s="283" t="s">
        <v>1923</v>
      </c>
      <c r="J55" s="35"/>
      <c r="N55" s="8">
        <f t="shared" si="5"/>
        <v>301</v>
      </c>
    </row>
    <row r="56" spans="1:14">
      <c r="A56" s="131">
        <f t="shared" si="7"/>
        <v>302</v>
      </c>
      <c r="B56" s="295">
        <v>282</v>
      </c>
      <c r="C56" s="91" t="s">
        <v>1922</v>
      </c>
      <c r="D56" s="636">
        <f t="shared" si="6"/>
        <v>-497928581</v>
      </c>
      <c r="E56" s="427"/>
      <c r="F56" s="427"/>
      <c r="G56" s="427">
        <v>-497928581</v>
      </c>
      <c r="H56" s="427"/>
      <c r="I56" s="283" t="s">
        <v>1924</v>
      </c>
      <c r="J56" s="35" t="s">
        <v>1325</v>
      </c>
      <c r="N56" s="8">
        <f t="shared" si="5"/>
        <v>302</v>
      </c>
    </row>
    <row r="57" spans="1:14">
      <c r="A57" s="131">
        <f t="shared" si="7"/>
        <v>303</v>
      </c>
      <c r="B57" s="295"/>
      <c r="C57" s="91"/>
      <c r="D57" s="636">
        <f t="shared" si="6"/>
        <v>0</v>
      </c>
      <c r="E57" s="427"/>
      <c r="F57" s="427"/>
      <c r="G57" s="427"/>
      <c r="H57" s="427"/>
      <c r="I57" s="283"/>
      <c r="J57" s="35"/>
      <c r="N57" s="8">
        <f t="shared" si="5"/>
        <v>303</v>
      </c>
    </row>
    <row r="58" spans="1:14">
      <c r="A58" s="131">
        <f t="shared" si="7"/>
        <v>304</v>
      </c>
      <c r="B58" s="295"/>
      <c r="C58" s="91"/>
      <c r="D58" s="636">
        <f t="shared" si="6"/>
        <v>0</v>
      </c>
      <c r="E58" s="427"/>
      <c r="F58" s="427"/>
      <c r="G58" s="427"/>
      <c r="H58" s="427"/>
      <c r="I58" s="283"/>
      <c r="J58" s="35"/>
      <c r="N58" s="8">
        <f t="shared" si="5"/>
        <v>304</v>
      </c>
    </row>
    <row r="59" spans="1:14">
      <c r="A59" s="131">
        <f t="shared" si="7"/>
        <v>305</v>
      </c>
      <c r="B59" s="295"/>
      <c r="C59" s="91"/>
      <c r="D59" s="636">
        <f t="shared" si="6"/>
        <v>0</v>
      </c>
      <c r="E59" s="427"/>
      <c r="F59" s="427"/>
      <c r="G59" s="427"/>
      <c r="H59" s="427"/>
      <c r="I59" s="283"/>
      <c r="J59" s="35"/>
      <c r="N59" s="8">
        <f t="shared" si="5"/>
        <v>305</v>
      </c>
    </row>
    <row r="60" spans="1:14">
      <c r="A60" s="131">
        <f t="shared" si="7"/>
        <v>306</v>
      </c>
      <c r="B60" s="282"/>
      <c r="C60" s="270"/>
      <c r="D60" s="636">
        <f t="shared" si="6"/>
        <v>0</v>
      </c>
      <c r="E60" s="352"/>
      <c r="F60" s="352"/>
      <c r="G60" s="352"/>
      <c r="H60" s="352"/>
      <c r="I60" s="49"/>
      <c r="N60" s="8">
        <f t="shared" si="5"/>
        <v>306</v>
      </c>
    </row>
    <row r="61" spans="1:14">
      <c r="A61" s="131"/>
      <c r="B61" s="140"/>
      <c r="C61" s="17"/>
      <c r="D61" s="285"/>
      <c r="E61" s="20"/>
      <c r="F61" s="20"/>
      <c r="G61" s="20"/>
      <c r="H61" s="20"/>
      <c r="N61" s="8"/>
    </row>
    <row r="62" spans="1:14">
      <c r="A62" s="131">
        <f>+A60+1</f>
        <v>307</v>
      </c>
      <c r="B62" s="27"/>
      <c r="C62" s="17" t="s">
        <v>641</v>
      </c>
      <c r="D62" s="429">
        <f>SUM(D54:D60)</f>
        <v>-10627816495</v>
      </c>
      <c r="E62" s="429">
        <f>SUM(E54:E60)</f>
        <v>-8034316898</v>
      </c>
      <c r="F62" s="429">
        <f>SUM(F54:F60)</f>
        <v>-2095571016</v>
      </c>
      <c r="G62" s="429">
        <f>SUM(G54:G60)</f>
        <v>-497928581</v>
      </c>
      <c r="H62" s="429">
        <f>SUM(H54:H60)</f>
        <v>0</v>
      </c>
      <c r="I62" s="35" t="str">
        <f>"Sum of Above Lines beginning on Line "&amp;A54&amp;""</f>
        <v>Sum of Above Lines beginning on Line 300</v>
      </c>
      <c r="N62" s="8">
        <f>A62</f>
        <v>307</v>
      </c>
    </row>
    <row r="63" spans="1:14">
      <c r="A63" s="131">
        <f>+A62+1</f>
        <v>308</v>
      </c>
      <c r="B63" s="176"/>
      <c r="C63" s="176" t="s">
        <v>634</v>
      </c>
      <c r="D63" s="286"/>
      <c r="E63" s="286"/>
      <c r="F63" s="229">
        <f>+'24-Allocators'!C37</f>
        <v>0.95164401749843386</v>
      </c>
      <c r="G63" s="309">
        <f>'24-Allocators'!$C$29</f>
        <v>0.16085587413428787</v>
      </c>
      <c r="H63" s="309">
        <f>'24-Allocators'!$C$24</f>
        <v>9.5754660785216397E-2</v>
      </c>
      <c r="I63" s="287" t="s">
        <v>1717</v>
      </c>
      <c r="J63" s="17"/>
      <c r="N63" s="8">
        <f>A63</f>
        <v>308</v>
      </c>
    </row>
    <row r="64" spans="1:14">
      <c r="A64" s="131">
        <f>+A63+1</f>
        <v>309</v>
      </c>
      <c r="B64" s="176"/>
      <c r="C64" s="177" t="s">
        <v>642</v>
      </c>
      <c r="D64" s="549">
        <f>SUM(F64:H64)</f>
        <v>-2074332357.7727153</v>
      </c>
      <c r="E64" s="433"/>
      <c r="F64" s="441">
        <f>+F62*F63</f>
        <v>-1994237620.6195147</v>
      </c>
      <c r="G64" s="430">
        <f>+G62*G63</f>
        <v>-80094737.153200567</v>
      </c>
      <c r="H64" s="430">
        <f>+H62*H63</f>
        <v>0</v>
      </c>
      <c r="I64" s="289" t="str">
        <f>CONCATENATE("Line ",A62," * ","Line ",A63," for Cols 4 to 6")</f>
        <v>Line 307 * Line 308 for Cols 4 to 6</v>
      </c>
      <c r="J64" s="17"/>
      <c r="N64" s="8">
        <f>A64</f>
        <v>309</v>
      </c>
    </row>
    <row r="65" spans="1:14">
      <c r="A65" s="131"/>
      <c r="B65" s="176"/>
      <c r="C65" s="290" t="s">
        <v>636</v>
      </c>
      <c r="E65" s="286"/>
      <c r="F65" s="286"/>
      <c r="G65" s="286"/>
      <c r="H65" s="286"/>
      <c r="I65" s="289"/>
      <c r="J65" s="17"/>
      <c r="N65" s="8"/>
    </row>
    <row r="66" spans="1:14">
      <c r="A66" s="131"/>
      <c r="B66" s="176"/>
      <c r="D66" s="290"/>
      <c r="E66" s="286"/>
      <c r="F66" s="286"/>
      <c r="G66" s="286"/>
      <c r="H66" s="286"/>
      <c r="I66" s="289"/>
      <c r="J66" s="17"/>
      <c r="N66" s="8"/>
    </row>
    <row r="67" spans="1:14">
      <c r="A67" s="131">
        <f>+A64+1</f>
        <v>310</v>
      </c>
      <c r="B67" s="27"/>
      <c r="C67" s="176" t="s">
        <v>643</v>
      </c>
      <c r="D67" s="637">
        <v>-10627816495</v>
      </c>
      <c r="E67" s="291"/>
      <c r="F67" s="286"/>
      <c r="G67" s="286"/>
      <c r="H67" s="286"/>
      <c r="J67" s="18" t="s">
        <v>2004</v>
      </c>
      <c r="N67" s="8">
        <f>A67</f>
        <v>310</v>
      </c>
    </row>
    <row r="68" spans="1:14">
      <c r="A68" s="131">
        <f>A67+1</f>
        <v>311</v>
      </c>
      <c r="B68" s="27"/>
      <c r="C68" s="176" t="s">
        <v>1707</v>
      </c>
      <c r="D68" s="428"/>
      <c r="E68" s="291"/>
      <c r="F68" s="286"/>
      <c r="G68" s="286"/>
      <c r="H68" s="286"/>
      <c r="J68" s="18"/>
      <c r="N68" s="8">
        <f>A68</f>
        <v>311</v>
      </c>
    </row>
    <row r="69" spans="1:14" ht="15" thickBot="1">
      <c r="A69" s="131">
        <f>A68+1</f>
        <v>312</v>
      </c>
      <c r="B69" s="27"/>
      <c r="C69" s="176" t="s">
        <v>643</v>
      </c>
      <c r="D69" s="434">
        <f>SUM(D67:D68)</f>
        <v>-10627816495</v>
      </c>
      <c r="E69" s="291" t="str">
        <f>CONCATENATE("Must match amount on Line ",A62," ",D51)</f>
        <v>Must match amount on Line 307 Col 2</v>
      </c>
      <c r="F69" s="286"/>
      <c r="G69" s="286"/>
      <c r="H69" s="286"/>
      <c r="I69" s="236"/>
      <c r="J69" s="17"/>
      <c r="N69" s="8">
        <f>A69</f>
        <v>312</v>
      </c>
    </row>
    <row r="70" spans="1:14" ht="15" thickTop="1">
      <c r="A70" s="131"/>
      <c r="B70" s="27"/>
      <c r="C70" s="17"/>
      <c r="D70" s="285"/>
      <c r="E70" s="291"/>
      <c r="F70" s="286"/>
      <c r="G70" s="286"/>
      <c r="H70" s="286"/>
      <c r="I70" s="236"/>
      <c r="J70" s="17"/>
      <c r="N70" s="8"/>
    </row>
    <row r="71" spans="1:14">
      <c r="A71" s="27"/>
      <c r="B71" s="179" t="s">
        <v>644</v>
      </c>
      <c r="C71" s="180"/>
      <c r="D71" s="296"/>
      <c r="E71" s="59"/>
      <c r="F71" s="59"/>
      <c r="G71" s="59"/>
      <c r="H71" s="59"/>
      <c r="I71" s="54"/>
      <c r="J71" s="144"/>
      <c r="K71" s="54"/>
      <c r="L71" s="54"/>
      <c r="M71" s="54"/>
      <c r="N71" s="8"/>
    </row>
    <row r="72" spans="1:14">
      <c r="A72" s="27"/>
      <c r="B72" s="177"/>
      <c r="C72" s="122" t="s">
        <v>100</v>
      </c>
      <c r="D72" s="122" t="s">
        <v>101</v>
      </c>
      <c r="E72" s="122" t="s">
        <v>102</v>
      </c>
      <c r="F72" s="122" t="s">
        <v>103</v>
      </c>
      <c r="G72" s="122" t="s">
        <v>104</v>
      </c>
      <c r="H72" s="122" t="s">
        <v>105</v>
      </c>
      <c r="I72" s="122" t="s">
        <v>106</v>
      </c>
      <c r="J72" s="17"/>
      <c r="N72" s="8"/>
    </row>
    <row r="73" spans="1:14">
      <c r="A73" s="27"/>
      <c r="B73" s="1"/>
      <c r="C73" s="1"/>
      <c r="D73" s="1" t="s">
        <v>1296</v>
      </c>
      <c r="E73" s="1" t="s">
        <v>1723</v>
      </c>
      <c r="F73" s="297"/>
      <c r="G73" s="1" t="s">
        <v>1721</v>
      </c>
      <c r="H73" s="1" t="s">
        <v>1722</v>
      </c>
      <c r="I73" s="280"/>
      <c r="J73" s="17"/>
      <c r="N73" s="8"/>
    </row>
    <row r="74" spans="1:14">
      <c r="A74" s="119" t="s">
        <v>124</v>
      </c>
      <c r="B74" s="281" t="s">
        <v>645</v>
      </c>
      <c r="C74" s="281" t="s">
        <v>627</v>
      </c>
      <c r="D74" s="281" t="s">
        <v>1295</v>
      </c>
      <c r="E74" s="281" t="s">
        <v>1724</v>
      </c>
      <c r="F74" s="298" t="s">
        <v>628</v>
      </c>
      <c r="G74" s="298" t="s">
        <v>629</v>
      </c>
      <c r="H74" s="298" t="s">
        <v>630</v>
      </c>
      <c r="I74" s="281" t="s">
        <v>129</v>
      </c>
      <c r="J74" s="17"/>
      <c r="N74" s="119" t="str">
        <f>A74</f>
        <v>Line</v>
      </c>
    </row>
    <row r="75" spans="1:14">
      <c r="A75" s="131"/>
      <c r="B75" s="176" t="s">
        <v>631</v>
      </c>
      <c r="D75" s="20"/>
      <c r="E75" s="20"/>
      <c r="F75" s="20"/>
      <c r="G75" s="20"/>
      <c r="H75" s="20"/>
      <c r="J75" s="17"/>
      <c r="N75" s="8"/>
    </row>
    <row r="76" spans="1:14">
      <c r="A76" s="131">
        <v>400</v>
      </c>
      <c r="B76" s="295">
        <v>283</v>
      </c>
      <c r="C76" s="91" t="s">
        <v>1925</v>
      </c>
      <c r="D76" s="636">
        <f>SUM(E76:H76)</f>
        <v>-35791746</v>
      </c>
      <c r="E76" s="476">
        <v>-35791746</v>
      </c>
      <c r="F76" s="476"/>
      <c r="G76" s="476"/>
      <c r="H76" s="476"/>
      <c r="I76" s="283" t="s">
        <v>1917</v>
      </c>
      <c r="J76" s="18" t="s">
        <v>2005</v>
      </c>
      <c r="N76" s="8">
        <f>A76</f>
        <v>400</v>
      </c>
    </row>
    <row r="77" spans="1:14">
      <c r="A77" s="131">
        <f>A76+1</f>
        <v>401</v>
      </c>
      <c r="B77" s="295">
        <v>283</v>
      </c>
      <c r="C77" s="91" t="s">
        <v>1926</v>
      </c>
      <c r="D77" s="636">
        <f>SUM(E77:H77)</f>
        <v>-2322462756</v>
      </c>
      <c r="E77" s="476">
        <v>-2322462756</v>
      </c>
      <c r="F77" s="476"/>
      <c r="G77" s="476"/>
      <c r="H77" s="476"/>
      <c r="I77" s="283" t="s">
        <v>1927</v>
      </c>
      <c r="J77" s="18" t="s">
        <v>2006</v>
      </c>
      <c r="N77" s="8">
        <f>A77</f>
        <v>401</v>
      </c>
    </row>
    <row r="78" spans="1:14">
      <c r="A78" s="131">
        <f>A77+1</f>
        <v>402</v>
      </c>
      <c r="B78" s="295">
        <v>283</v>
      </c>
      <c r="C78" s="91" t="s">
        <v>85</v>
      </c>
      <c r="D78" s="636">
        <f>SUM(E78:H78)</f>
        <v>-421270881</v>
      </c>
      <c r="E78" s="476">
        <v>-421270881</v>
      </c>
      <c r="F78" s="476"/>
      <c r="G78" s="476"/>
      <c r="H78" s="476"/>
      <c r="I78" s="283" t="s">
        <v>1917</v>
      </c>
      <c r="J78" s="18" t="s">
        <v>2007</v>
      </c>
      <c r="N78" s="8">
        <f>A78</f>
        <v>402</v>
      </c>
    </row>
    <row r="79" spans="1:14">
      <c r="A79" s="131">
        <f>A78+1</f>
        <v>403</v>
      </c>
      <c r="B79" s="295"/>
      <c r="C79" s="91"/>
      <c r="D79" s="636"/>
      <c r="E79" s="476"/>
      <c r="F79" s="476"/>
      <c r="G79" s="476"/>
      <c r="H79" s="476"/>
      <c r="I79" s="283"/>
      <c r="J79" s="18"/>
      <c r="N79" s="8">
        <f>A79</f>
        <v>403</v>
      </c>
    </row>
    <row r="80" spans="1:14">
      <c r="A80" s="131"/>
      <c r="B80" s="116"/>
      <c r="C80" s="17"/>
      <c r="D80" s="164"/>
      <c r="E80" s="20"/>
      <c r="F80" s="20"/>
      <c r="G80" s="20"/>
      <c r="H80" s="20"/>
      <c r="J80" s="17"/>
      <c r="N80" s="8"/>
    </row>
    <row r="81" spans="1:14">
      <c r="A81" s="131">
        <f>A79+1</f>
        <v>404</v>
      </c>
      <c r="B81" s="17"/>
      <c r="C81" s="17" t="s">
        <v>646</v>
      </c>
      <c r="D81" s="429">
        <f>SUM(D76:D79)</f>
        <v>-2779525383</v>
      </c>
      <c r="E81" s="429">
        <f>SUM(E76:E79)</f>
        <v>-2779525383</v>
      </c>
      <c r="F81" s="429">
        <f>SUM(F76:F79)</f>
        <v>0</v>
      </c>
      <c r="G81" s="429">
        <f>SUM(G76:G79)</f>
        <v>0</v>
      </c>
      <c r="H81" s="429">
        <f>SUM(H76:H79)</f>
        <v>0</v>
      </c>
      <c r="I81" s="35" t="str">
        <f>"Sum of Above Lines beginning on Line "&amp;A76&amp;""</f>
        <v>Sum of Above Lines beginning on Line 400</v>
      </c>
      <c r="J81" s="17"/>
      <c r="N81" s="8">
        <f>A81</f>
        <v>404</v>
      </c>
    </row>
    <row r="82" spans="1:14">
      <c r="A82" s="131">
        <f>A81+1</f>
        <v>405</v>
      </c>
      <c r="B82" s="176"/>
      <c r="C82" s="176" t="s">
        <v>634</v>
      </c>
      <c r="D82" s="299"/>
      <c r="E82" s="299"/>
      <c r="F82" s="286"/>
      <c r="G82" s="309">
        <f>'24-Allocators'!$C$29</f>
        <v>0.16085587413428787</v>
      </c>
      <c r="H82" s="309">
        <f>'24-Allocators'!$C$24</f>
        <v>9.5754660785216397E-2</v>
      </c>
      <c r="I82" s="287" t="s">
        <v>1083</v>
      </c>
      <c r="J82" s="17"/>
      <c r="N82" s="8">
        <f>A82</f>
        <v>405</v>
      </c>
    </row>
    <row r="83" spans="1:14">
      <c r="A83" s="131">
        <f>+A82+1</f>
        <v>406</v>
      </c>
      <c r="B83" s="176"/>
      <c r="C83" s="177" t="s">
        <v>647</v>
      </c>
      <c r="D83" s="550">
        <f>SUM(F83:H83)</f>
        <v>0</v>
      </c>
      <c r="E83" s="286"/>
      <c r="F83" s="288">
        <f>+F81</f>
        <v>0</v>
      </c>
      <c r="G83" s="288">
        <f>+G81*G82</f>
        <v>0</v>
      </c>
      <c r="H83" s="300">
        <f>+H81*H82</f>
        <v>0</v>
      </c>
      <c r="I83" s="289" t="str">
        <f>CONCATENATE("Line ",A81," * ","Line ",A82," for Cols 5 and 6")</f>
        <v>Line 404 * Line 405 for Cols 5 and 6</v>
      </c>
      <c r="J83" s="17"/>
      <c r="N83" s="8">
        <f>A83</f>
        <v>406</v>
      </c>
    </row>
    <row r="84" spans="1:14">
      <c r="A84" s="131"/>
      <c r="C84" s="290" t="s">
        <v>636</v>
      </c>
      <c r="D84" s="164"/>
      <c r="E84" s="164"/>
      <c r="F84" s="164"/>
      <c r="G84" s="164"/>
      <c r="H84" s="164"/>
      <c r="I84" s="289"/>
      <c r="J84" s="164"/>
      <c r="N84" s="8"/>
    </row>
    <row r="85" spans="1:14">
      <c r="A85" s="131"/>
      <c r="C85" s="17"/>
      <c r="D85" s="164"/>
      <c r="E85" s="164"/>
      <c r="F85" s="164"/>
      <c r="G85" s="164"/>
      <c r="H85" s="164"/>
      <c r="I85" s="289"/>
      <c r="J85" s="17"/>
      <c r="N85" s="8"/>
    </row>
    <row r="86" spans="1:14">
      <c r="A86" s="131">
        <f>A83+1</f>
        <v>407</v>
      </c>
      <c r="C86" s="176" t="s">
        <v>648</v>
      </c>
      <c r="D86" s="637">
        <v>-2779525383</v>
      </c>
      <c r="E86" s="291" t="str">
        <f>CONCATENATE("Must match amount on Line ",A81," ",D72)</f>
        <v>Must match amount on Line 404 Col 2</v>
      </c>
      <c r="F86" s="286"/>
      <c r="G86" s="286"/>
      <c r="H86" s="286"/>
      <c r="J86" s="18" t="s">
        <v>2008</v>
      </c>
      <c r="N86" s="8">
        <f>A86</f>
        <v>407</v>
      </c>
    </row>
    <row r="87" spans="1:14">
      <c r="A87" s="131"/>
      <c r="C87" s="176"/>
      <c r="D87" s="291"/>
      <c r="E87" s="291"/>
      <c r="F87" s="286"/>
      <c r="G87" s="286"/>
      <c r="H87" s="286"/>
      <c r="I87" s="35"/>
      <c r="N87" s="8"/>
    </row>
    <row r="88" spans="1:14">
      <c r="A88" s="27"/>
      <c r="B88" s="179" t="s">
        <v>649</v>
      </c>
      <c r="C88" s="180"/>
      <c r="D88" s="296"/>
      <c r="E88" s="59"/>
      <c r="F88" s="59"/>
      <c r="G88" s="59"/>
      <c r="H88" s="59"/>
      <c r="I88" s="54"/>
      <c r="J88" s="54"/>
      <c r="K88" s="54"/>
      <c r="L88" s="54"/>
      <c r="M88" s="54"/>
      <c r="N88" s="8"/>
    </row>
    <row r="89" spans="1:14">
      <c r="A89" s="27"/>
      <c r="B89" s="177"/>
      <c r="C89" s="122" t="s">
        <v>100</v>
      </c>
      <c r="D89" s="122" t="s">
        <v>101</v>
      </c>
      <c r="E89" s="122" t="s">
        <v>102</v>
      </c>
      <c r="F89" s="122" t="s">
        <v>103</v>
      </c>
      <c r="G89" s="122" t="s">
        <v>104</v>
      </c>
      <c r="H89" s="122" t="s">
        <v>105</v>
      </c>
      <c r="I89" s="122" t="s">
        <v>106</v>
      </c>
      <c r="N89" s="8"/>
    </row>
    <row r="90" spans="1:14">
      <c r="A90" s="27"/>
      <c r="B90" s="1"/>
      <c r="C90" s="1"/>
      <c r="D90" s="1" t="s">
        <v>1296</v>
      </c>
      <c r="E90" s="1" t="s">
        <v>1723</v>
      </c>
      <c r="F90" s="297"/>
      <c r="G90" s="1" t="s">
        <v>1721</v>
      </c>
      <c r="H90" s="1" t="s">
        <v>1722</v>
      </c>
      <c r="I90" s="280"/>
      <c r="N90" s="8"/>
    </row>
    <row r="91" spans="1:14">
      <c r="A91" s="119" t="s">
        <v>124</v>
      </c>
      <c r="B91" s="281" t="s">
        <v>650</v>
      </c>
      <c r="C91" s="281" t="s">
        <v>627</v>
      </c>
      <c r="D91" s="281" t="s">
        <v>1295</v>
      </c>
      <c r="E91" s="281" t="s">
        <v>1724</v>
      </c>
      <c r="F91" s="298" t="s">
        <v>628</v>
      </c>
      <c r="G91" s="298" t="s">
        <v>629</v>
      </c>
      <c r="H91" s="298" t="s">
        <v>630</v>
      </c>
      <c r="I91" s="281" t="s">
        <v>129</v>
      </c>
      <c r="N91" s="119" t="str">
        <f>A91</f>
        <v>Line</v>
      </c>
    </row>
    <row r="92" spans="1:14">
      <c r="A92" s="131"/>
      <c r="B92" s="176" t="s">
        <v>631</v>
      </c>
      <c r="D92" s="20"/>
      <c r="E92" s="20"/>
      <c r="F92" s="20"/>
      <c r="G92" s="20"/>
      <c r="H92" s="20"/>
      <c r="N92" s="8"/>
    </row>
    <row r="93" spans="1:14">
      <c r="A93" s="131">
        <v>500</v>
      </c>
      <c r="B93" s="295">
        <v>255</v>
      </c>
      <c r="C93" s="91" t="s">
        <v>1928</v>
      </c>
      <c r="D93" s="636">
        <f>SUM(E93:H93)</f>
        <v>-81897947.599999994</v>
      </c>
      <c r="E93" s="476">
        <v>-79290457.599999994</v>
      </c>
      <c r="F93" s="476">
        <v>-2607490</v>
      </c>
      <c r="G93" s="476"/>
      <c r="H93" s="476"/>
      <c r="I93" s="283" t="s">
        <v>1919</v>
      </c>
      <c r="J93" s="35" t="s">
        <v>1629</v>
      </c>
      <c r="N93" s="8">
        <f>A93</f>
        <v>500</v>
      </c>
    </row>
    <row r="94" spans="1:14">
      <c r="A94" s="131">
        <f>A93+1</f>
        <v>501</v>
      </c>
      <c r="B94" s="295">
        <v>255</v>
      </c>
      <c r="C94" s="91" t="s">
        <v>1929</v>
      </c>
      <c r="D94" s="636">
        <f>SUM(E94:H94)</f>
        <v>-9487722</v>
      </c>
      <c r="E94" s="476"/>
      <c r="F94" s="476"/>
      <c r="G94" s="476">
        <v>-9487722</v>
      </c>
      <c r="H94" s="476"/>
      <c r="I94" s="283" t="s">
        <v>1924</v>
      </c>
      <c r="J94" s="35" t="s">
        <v>1630</v>
      </c>
      <c r="N94" s="8">
        <f>A94</f>
        <v>501</v>
      </c>
    </row>
    <row r="95" spans="1:14">
      <c r="A95" s="131">
        <f>+A94+1</f>
        <v>502</v>
      </c>
      <c r="B95" s="295">
        <v>255</v>
      </c>
      <c r="C95" s="91" t="s">
        <v>1930</v>
      </c>
      <c r="D95" s="636">
        <f>SUM(E95:H95)</f>
        <v>36395.59999999404</v>
      </c>
      <c r="E95" s="476">
        <v>36395.59999999404</v>
      </c>
      <c r="F95" s="476"/>
      <c r="G95" s="476"/>
      <c r="H95" s="476"/>
      <c r="I95" s="283" t="s">
        <v>1917</v>
      </c>
      <c r="N95" s="8">
        <f>A95</f>
        <v>502</v>
      </c>
    </row>
    <row r="96" spans="1:14">
      <c r="A96" s="131"/>
      <c r="B96" s="116"/>
      <c r="C96" s="17"/>
      <c r="D96" s="164"/>
      <c r="E96" s="20"/>
      <c r="F96" s="20"/>
      <c r="G96" s="20"/>
      <c r="H96" s="20"/>
      <c r="N96" s="8"/>
    </row>
    <row r="97" spans="1:14">
      <c r="A97" s="131">
        <f>A95+1</f>
        <v>503</v>
      </c>
      <c r="B97" s="17"/>
      <c r="C97" s="17" t="s">
        <v>651</v>
      </c>
      <c r="D97" s="429">
        <f>SUM(D93:D95)</f>
        <v>-91349274</v>
      </c>
      <c r="E97" s="429">
        <f>SUM(E93:E95)</f>
        <v>-79254062</v>
      </c>
      <c r="F97" s="429">
        <f>SUM(F93:F95)</f>
        <v>-2607490</v>
      </c>
      <c r="G97" s="429">
        <f>SUM(G93:G95)</f>
        <v>-9487722</v>
      </c>
      <c r="H97" s="429">
        <f>SUM(H93:H95)</f>
        <v>0</v>
      </c>
      <c r="I97" s="35" t="str">
        <f>"Sum of Above Lines beginning on Line "&amp;A93&amp;""</f>
        <v>Sum of Above Lines beginning on Line 500</v>
      </c>
      <c r="N97" s="8">
        <f>A97</f>
        <v>503</v>
      </c>
    </row>
    <row r="98" spans="1:14">
      <c r="A98" s="131">
        <f>A97+1</f>
        <v>504</v>
      </c>
      <c r="B98" s="176"/>
      <c r="C98" s="176" t="s">
        <v>634</v>
      </c>
      <c r="D98" s="299"/>
      <c r="E98" s="299"/>
      <c r="F98" s="700">
        <f>+'24-Allocators'!C37</f>
        <v>0.95164401749843386</v>
      </c>
      <c r="G98" s="309">
        <f>'24-Allocators'!$C$29</f>
        <v>0.16085587413428787</v>
      </c>
      <c r="H98" s="309">
        <f>'24-Allocators'!$C$24</f>
        <v>9.5754660785216397E-2</v>
      </c>
      <c r="I98" s="287" t="s">
        <v>1717</v>
      </c>
      <c r="N98" s="8">
        <f>A98</f>
        <v>504</v>
      </c>
    </row>
    <row r="99" spans="1:14">
      <c r="A99" s="131">
        <f>+A98+1</f>
        <v>505</v>
      </c>
      <c r="B99" s="176"/>
      <c r="C99" s="177" t="s">
        <v>652</v>
      </c>
      <c r="D99" s="551">
        <f>SUM(F99:H99)</f>
        <v>-4007558.0750401057</v>
      </c>
      <c r="E99" s="429"/>
      <c r="F99" s="430">
        <f>F97*F98</f>
        <v>-2481402.2591869915</v>
      </c>
      <c r="G99" s="430">
        <f>+G97*G98</f>
        <v>-1526155.815853114</v>
      </c>
      <c r="H99" s="441">
        <f>+H97*H98</f>
        <v>0</v>
      </c>
      <c r="I99" s="289" t="str">
        <f>CONCATENATE("Line ",A97," * ","Line ",A98," for Cols 4 to 6")</f>
        <v>Line 503 * Line 504 for Cols 4 to 6</v>
      </c>
      <c r="N99" s="8">
        <f>A99</f>
        <v>505</v>
      </c>
    </row>
    <row r="100" spans="1:14">
      <c r="A100" s="131"/>
      <c r="C100" s="290" t="s">
        <v>636</v>
      </c>
      <c r="D100" s="164"/>
      <c r="E100" s="164"/>
      <c r="F100" s="164"/>
      <c r="G100" s="164"/>
      <c r="H100" s="164"/>
      <c r="I100" s="289"/>
      <c r="J100" s="164"/>
      <c r="N100" s="8"/>
    </row>
    <row r="101" spans="1:14">
      <c r="A101" s="131"/>
      <c r="C101" s="17"/>
      <c r="D101" s="164"/>
      <c r="E101" s="164"/>
      <c r="F101" s="164"/>
      <c r="G101" s="164"/>
      <c r="H101" s="164"/>
      <c r="I101" s="289"/>
      <c r="J101" s="17"/>
      <c r="N101" s="8"/>
    </row>
    <row r="102" spans="1:14">
      <c r="A102" s="131">
        <f>A99+1</f>
        <v>506</v>
      </c>
      <c r="C102" s="176" t="s">
        <v>653</v>
      </c>
      <c r="D102" s="637">
        <v>-91349274</v>
      </c>
      <c r="E102" s="291" t="str">
        <f>CONCATENATE("Must match amount on Line ",A97," ",D89)</f>
        <v>Must match amount on Line 503 Col 2</v>
      </c>
      <c r="F102" s="286"/>
      <c r="G102" s="286"/>
      <c r="H102" s="286"/>
      <c r="J102" s="18" t="s">
        <v>2009</v>
      </c>
      <c r="N102" s="8">
        <f>A102</f>
        <v>506</v>
      </c>
    </row>
    <row r="103" spans="1:14">
      <c r="A103" s="131"/>
      <c r="C103" s="176"/>
      <c r="D103" s="291"/>
      <c r="E103" s="291"/>
      <c r="F103" s="286"/>
      <c r="G103" s="286"/>
      <c r="H103" s="286"/>
      <c r="I103" s="35"/>
      <c r="N103" s="8"/>
    </row>
    <row r="104" spans="1:14">
      <c r="A104" s="131"/>
      <c r="B104" s="118" t="s">
        <v>654</v>
      </c>
      <c r="C104" s="180"/>
      <c r="D104" s="301"/>
      <c r="E104" s="301"/>
      <c r="F104" s="296"/>
      <c r="G104" s="296"/>
      <c r="H104" s="296"/>
      <c r="I104" s="302"/>
      <c r="J104" s="144"/>
      <c r="K104" s="54"/>
      <c r="L104" s="54"/>
      <c r="M104" s="54"/>
      <c r="N104" s="8"/>
    </row>
    <row r="105" spans="1:14">
      <c r="A105" s="131"/>
      <c r="B105" s="17"/>
      <c r="C105" s="122" t="s">
        <v>100</v>
      </c>
      <c r="D105" s="122" t="s">
        <v>101</v>
      </c>
      <c r="E105" s="122" t="s">
        <v>102</v>
      </c>
      <c r="F105" s="122" t="s">
        <v>103</v>
      </c>
      <c r="G105" s="122" t="s">
        <v>104</v>
      </c>
      <c r="H105" s="122" t="s">
        <v>105</v>
      </c>
      <c r="I105" s="122" t="s">
        <v>106</v>
      </c>
      <c r="J105" s="122" t="s">
        <v>107</v>
      </c>
      <c r="N105" s="8"/>
    </row>
    <row r="106" spans="1:14">
      <c r="A106" s="131"/>
      <c r="B106" s="17"/>
      <c r="C106" s="176"/>
      <c r="D106" s="303" t="s">
        <v>655</v>
      </c>
      <c r="E106" s="303" t="s">
        <v>656</v>
      </c>
      <c r="F106" s="286"/>
      <c r="G106" s="286"/>
      <c r="H106" s="303" t="s">
        <v>657</v>
      </c>
      <c r="I106" s="304" t="s">
        <v>658</v>
      </c>
      <c r="J106" s="303" t="s">
        <v>1476</v>
      </c>
      <c r="N106" s="8"/>
    </row>
    <row r="107" spans="1:14">
      <c r="A107" s="131"/>
      <c r="B107" s="17"/>
      <c r="C107" s="176"/>
      <c r="D107" s="291"/>
      <c r="E107" s="291"/>
      <c r="F107" s="286"/>
      <c r="G107" s="286"/>
      <c r="H107" s="286"/>
      <c r="I107" s="18"/>
      <c r="J107" s="17"/>
      <c r="N107" s="8"/>
    </row>
    <row r="108" spans="1:14">
      <c r="A108" s="131"/>
      <c r="B108" s="17"/>
      <c r="C108" s="182"/>
      <c r="D108" s="303" t="s">
        <v>659</v>
      </c>
      <c r="E108" s="303" t="s">
        <v>660</v>
      </c>
      <c r="F108" s="303"/>
      <c r="G108" s="303" t="s">
        <v>661</v>
      </c>
      <c r="H108" s="303" t="s">
        <v>662</v>
      </c>
      <c r="I108" s="131" t="s">
        <v>663</v>
      </c>
      <c r="J108" s="131" t="s">
        <v>664</v>
      </c>
      <c r="N108" s="8"/>
    </row>
    <row r="109" spans="1:14">
      <c r="A109" s="119" t="s">
        <v>124</v>
      </c>
      <c r="B109" s="119" t="s">
        <v>111</v>
      </c>
      <c r="C109" s="182" t="s">
        <v>665</v>
      </c>
      <c r="D109" s="305" t="s">
        <v>666</v>
      </c>
      <c r="E109" s="305" t="s">
        <v>667</v>
      </c>
      <c r="F109" s="305" t="s">
        <v>668</v>
      </c>
      <c r="G109" s="305" t="s">
        <v>669</v>
      </c>
      <c r="H109" s="305" t="s">
        <v>670</v>
      </c>
      <c r="I109" s="119" t="s">
        <v>671</v>
      </c>
      <c r="J109" s="119" t="s">
        <v>672</v>
      </c>
      <c r="N109" s="119" t="str">
        <f t="shared" ref="N109:N124" si="8">A109</f>
        <v>Line</v>
      </c>
    </row>
    <row r="110" spans="1:14">
      <c r="A110" s="131">
        <v>600</v>
      </c>
      <c r="B110" s="17"/>
      <c r="C110" s="306" t="s">
        <v>1475</v>
      </c>
      <c r="D110" s="435"/>
      <c r="E110" s="209">
        <f>D17</f>
        <v>-1508728940.0507171</v>
      </c>
      <c r="F110" s="286"/>
      <c r="G110" s="44">
        <f>+G111+F111-G122</f>
        <v>365</v>
      </c>
      <c r="H110" s="309">
        <f>1</f>
        <v>1</v>
      </c>
      <c r="I110" s="310"/>
      <c r="J110" s="437">
        <f>+E110</f>
        <v>-1508728940.0507171</v>
      </c>
      <c r="N110" s="8">
        <f t="shared" si="8"/>
        <v>600</v>
      </c>
    </row>
    <row r="111" spans="1:14">
      <c r="A111" s="131">
        <f t="shared" ref="A111:A124" si="9">A110+1</f>
        <v>601</v>
      </c>
      <c r="B111" s="27">
        <f>'1-BaseTRR'!$F$2</f>
        <v>2022</v>
      </c>
      <c r="C111" s="306" t="s">
        <v>114</v>
      </c>
      <c r="D111" s="209">
        <f t="shared" ref="D111:D122" si="10">($D$13-$D$17)/12</f>
        <v>-4758925.7090689735</v>
      </c>
      <c r="E111" s="209">
        <f t="shared" ref="E111:E122" si="11">E110+D111</f>
        <v>-1513487865.7597861</v>
      </c>
      <c r="F111" s="44">
        <v>31</v>
      </c>
      <c r="G111" s="44">
        <f t="shared" ref="G111:G120" si="12">+G112+F112</f>
        <v>335</v>
      </c>
      <c r="H111" s="309">
        <f>G111/G110</f>
        <v>0.9178082191780822</v>
      </c>
      <c r="I111" s="436">
        <f t="shared" ref="I111:I122" si="13">D111*H111</f>
        <v>-4367781.1302413866</v>
      </c>
      <c r="J111" s="241">
        <f t="shared" ref="J111:J122" si="14">J110+I111</f>
        <v>-1513096721.1809585</v>
      </c>
      <c r="N111" s="8">
        <f t="shared" si="8"/>
        <v>601</v>
      </c>
    </row>
    <row r="112" spans="1:14">
      <c r="A112" s="131">
        <f t="shared" si="9"/>
        <v>602</v>
      </c>
      <c r="B112" s="27">
        <f>'1-BaseTRR'!$F$2</f>
        <v>2022</v>
      </c>
      <c r="C112" s="306" t="s">
        <v>115</v>
      </c>
      <c r="D112" s="209">
        <f t="shared" si="10"/>
        <v>-4758925.7090689735</v>
      </c>
      <c r="E112" s="209">
        <f t="shared" si="11"/>
        <v>-1518246791.4688551</v>
      </c>
      <c r="F112" s="312">
        <v>28</v>
      </c>
      <c r="G112" s="44">
        <f t="shared" si="12"/>
        <v>307</v>
      </c>
      <c r="H112" s="309">
        <f>G112/G110</f>
        <v>0.84109589041095889</v>
      </c>
      <c r="I112" s="436">
        <f t="shared" si="13"/>
        <v>-4002712.8566689724</v>
      </c>
      <c r="J112" s="241">
        <f t="shared" si="14"/>
        <v>-1517099434.0376275</v>
      </c>
      <c r="N112" s="8">
        <f t="shared" si="8"/>
        <v>602</v>
      </c>
    </row>
    <row r="113" spans="1:14">
      <c r="A113" s="131">
        <f t="shared" si="9"/>
        <v>603</v>
      </c>
      <c r="B113" s="27">
        <f>'1-BaseTRR'!$F$2</f>
        <v>2022</v>
      </c>
      <c r="C113" s="306" t="s">
        <v>116</v>
      </c>
      <c r="D113" s="209">
        <f t="shared" si="10"/>
        <v>-4758925.7090689735</v>
      </c>
      <c r="E113" s="209">
        <f t="shared" si="11"/>
        <v>-1523005717.1779242</v>
      </c>
      <c r="F113" s="44">
        <v>31</v>
      </c>
      <c r="G113" s="44">
        <f t="shared" si="12"/>
        <v>276</v>
      </c>
      <c r="H113" s="309">
        <f>G113/G110</f>
        <v>0.75616438356164384</v>
      </c>
      <c r="I113" s="436">
        <f t="shared" si="13"/>
        <v>-3598530.1252137991</v>
      </c>
      <c r="J113" s="241">
        <f t="shared" si="14"/>
        <v>-1520697964.1628413</v>
      </c>
      <c r="N113" s="8">
        <f t="shared" si="8"/>
        <v>603</v>
      </c>
    </row>
    <row r="114" spans="1:14">
      <c r="A114" s="131">
        <f t="shared" si="9"/>
        <v>604</v>
      </c>
      <c r="B114" s="27">
        <f>'1-BaseTRR'!$F$2</f>
        <v>2022</v>
      </c>
      <c r="C114" s="306" t="s">
        <v>117</v>
      </c>
      <c r="D114" s="209">
        <f t="shared" si="10"/>
        <v>-4758925.7090689735</v>
      </c>
      <c r="E114" s="209">
        <f t="shared" si="11"/>
        <v>-1527764642.8869932</v>
      </c>
      <c r="F114" s="44">
        <v>30</v>
      </c>
      <c r="G114" s="44">
        <f t="shared" si="12"/>
        <v>246</v>
      </c>
      <c r="H114" s="309">
        <f>G114/G110</f>
        <v>0.67397260273972603</v>
      </c>
      <c r="I114" s="436">
        <f t="shared" si="13"/>
        <v>-3207385.5463862121</v>
      </c>
      <c r="J114" s="241">
        <f t="shared" si="14"/>
        <v>-1523905349.7092276</v>
      </c>
      <c r="N114" s="8">
        <f t="shared" si="8"/>
        <v>604</v>
      </c>
    </row>
    <row r="115" spans="1:14">
      <c r="A115" s="131">
        <f t="shared" si="9"/>
        <v>605</v>
      </c>
      <c r="B115" s="27">
        <f>'1-BaseTRR'!$F$2</f>
        <v>2022</v>
      </c>
      <c r="C115" s="306" t="s">
        <v>90</v>
      </c>
      <c r="D115" s="209">
        <f t="shared" si="10"/>
        <v>-4758925.7090689735</v>
      </c>
      <c r="E115" s="209">
        <f t="shared" si="11"/>
        <v>-1532523568.5960622</v>
      </c>
      <c r="F115" s="44">
        <v>31</v>
      </c>
      <c r="G115" s="44">
        <f t="shared" si="12"/>
        <v>215</v>
      </c>
      <c r="H115" s="309">
        <f>G115/G110</f>
        <v>0.58904109589041098</v>
      </c>
      <c r="I115" s="436">
        <f t="shared" si="13"/>
        <v>-2803202.8149310392</v>
      </c>
      <c r="J115" s="241">
        <f t="shared" si="14"/>
        <v>-1526708552.5241587</v>
      </c>
      <c r="N115" s="8">
        <f t="shared" si="8"/>
        <v>605</v>
      </c>
    </row>
    <row r="116" spans="1:14">
      <c r="A116" s="131">
        <f t="shared" si="9"/>
        <v>606</v>
      </c>
      <c r="B116" s="27">
        <f>'1-BaseTRR'!$F$2</f>
        <v>2022</v>
      </c>
      <c r="C116" s="306" t="s">
        <v>277</v>
      </c>
      <c r="D116" s="209">
        <f t="shared" si="10"/>
        <v>-4758925.7090689735</v>
      </c>
      <c r="E116" s="209">
        <f t="shared" si="11"/>
        <v>-1537282494.3051312</v>
      </c>
      <c r="F116" s="44">
        <v>30</v>
      </c>
      <c r="G116" s="44">
        <f t="shared" si="12"/>
        <v>185</v>
      </c>
      <c r="H116" s="309">
        <f>G116/G110</f>
        <v>0.50684931506849318</v>
      </c>
      <c r="I116" s="436">
        <f t="shared" si="13"/>
        <v>-2412058.2361034523</v>
      </c>
      <c r="J116" s="241">
        <f t="shared" si="14"/>
        <v>-1529120610.7602623</v>
      </c>
      <c r="N116" s="8">
        <f t="shared" si="8"/>
        <v>606</v>
      </c>
    </row>
    <row r="117" spans="1:14">
      <c r="A117" s="131">
        <f t="shared" si="9"/>
        <v>607</v>
      </c>
      <c r="B117" s="27">
        <f>'1-BaseTRR'!$F$2</f>
        <v>2022</v>
      </c>
      <c r="C117" s="306" t="s">
        <v>119</v>
      </c>
      <c r="D117" s="209">
        <f t="shared" si="10"/>
        <v>-4758925.7090689735</v>
      </c>
      <c r="E117" s="209">
        <f t="shared" si="11"/>
        <v>-1542041420.0142002</v>
      </c>
      <c r="F117" s="44">
        <v>31</v>
      </c>
      <c r="G117" s="44">
        <f t="shared" si="12"/>
        <v>154</v>
      </c>
      <c r="H117" s="309">
        <f>G117/G110</f>
        <v>0.42191780821917807</v>
      </c>
      <c r="I117" s="436">
        <f t="shared" si="13"/>
        <v>-2007875.5046482792</v>
      </c>
      <c r="J117" s="241">
        <f t="shared" si="14"/>
        <v>-1531128486.2649105</v>
      </c>
      <c r="N117" s="8">
        <f t="shared" si="8"/>
        <v>607</v>
      </c>
    </row>
    <row r="118" spans="1:14">
      <c r="A118" s="131">
        <f t="shared" si="9"/>
        <v>608</v>
      </c>
      <c r="B118" s="27">
        <f>'1-BaseTRR'!$F$2</f>
        <v>2022</v>
      </c>
      <c r="C118" s="306" t="s">
        <v>120</v>
      </c>
      <c r="D118" s="209">
        <f t="shared" si="10"/>
        <v>-4758925.7090689735</v>
      </c>
      <c r="E118" s="209">
        <f t="shared" si="11"/>
        <v>-1546800345.7232692</v>
      </c>
      <c r="F118" s="44">
        <v>31</v>
      </c>
      <c r="G118" s="44">
        <f t="shared" si="12"/>
        <v>123</v>
      </c>
      <c r="H118" s="309">
        <f>G118/G110</f>
        <v>0.33698630136986302</v>
      </c>
      <c r="I118" s="436">
        <f t="shared" si="13"/>
        <v>-1603692.7731931061</v>
      </c>
      <c r="J118" s="241">
        <f t="shared" si="14"/>
        <v>-1532732179.0381036</v>
      </c>
      <c r="N118" s="8">
        <f t="shared" si="8"/>
        <v>608</v>
      </c>
    </row>
    <row r="119" spans="1:14">
      <c r="A119" s="131">
        <f t="shared" si="9"/>
        <v>609</v>
      </c>
      <c r="B119" s="27">
        <f>'1-BaseTRR'!$F$2</f>
        <v>2022</v>
      </c>
      <c r="C119" s="306" t="s">
        <v>121</v>
      </c>
      <c r="D119" s="209">
        <f t="shared" si="10"/>
        <v>-4758925.7090689735</v>
      </c>
      <c r="E119" s="209">
        <f t="shared" si="11"/>
        <v>-1551559271.4323382</v>
      </c>
      <c r="F119" s="44">
        <v>30</v>
      </c>
      <c r="G119" s="44">
        <f t="shared" si="12"/>
        <v>93</v>
      </c>
      <c r="H119" s="309">
        <f>G119/G110</f>
        <v>0.25479452054794521</v>
      </c>
      <c r="I119" s="436">
        <f t="shared" si="13"/>
        <v>-1212548.1943655193</v>
      </c>
      <c r="J119" s="241">
        <f t="shared" si="14"/>
        <v>-1533944727.2324691</v>
      </c>
      <c r="N119" s="8">
        <f t="shared" si="8"/>
        <v>609</v>
      </c>
    </row>
    <row r="120" spans="1:14">
      <c r="A120" s="131">
        <f t="shared" si="9"/>
        <v>610</v>
      </c>
      <c r="B120" s="27">
        <f>'1-BaseTRR'!$F$2</f>
        <v>2022</v>
      </c>
      <c r="C120" s="306" t="s">
        <v>122</v>
      </c>
      <c r="D120" s="209">
        <f t="shared" si="10"/>
        <v>-4758925.7090689735</v>
      </c>
      <c r="E120" s="209">
        <f t="shared" si="11"/>
        <v>-1556318197.1414073</v>
      </c>
      <c r="F120" s="44">
        <v>31</v>
      </c>
      <c r="G120" s="44">
        <f t="shared" si="12"/>
        <v>62</v>
      </c>
      <c r="H120" s="309">
        <f>G120/G110</f>
        <v>0.16986301369863013</v>
      </c>
      <c r="I120" s="436">
        <f t="shared" si="13"/>
        <v>-808365.46291034622</v>
      </c>
      <c r="J120" s="241">
        <f t="shared" si="14"/>
        <v>-1534753092.6953795</v>
      </c>
      <c r="N120" s="8">
        <f t="shared" si="8"/>
        <v>610</v>
      </c>
    </row>
    <row r="121" spans="1:14">
      <c r="A121" s="131">
        <f t="shared" si="9"/>
        <v>611</v>
      </c>
      <c r="B121" s="27">
        <f>'1-BaseTRR'!$F$2</f>
        <v>2022</v>
      </c>
      <c r="C121" s="306" t="s">
        <v>123</v>
      </c>
      <c r="D121" s="209">
        <f t="shared" si="10"/>
        <v>-4758925.7090689735</v>
      </c>
      <c r="E121" s="209">
        <f t="shared" si="11"/>
        <v>-1561077122.8504763</v>
      </c>
      <c r="F121" s="44">
        <v>30</v>
      </c>
      <c r="G121" s="44">
        <f>+G122+F122</f>
        <v>32</v>
      </c>
      <c r="H121" s="309">
        <f>G121/G110</f>
        <v>8.7671232876712329E-2</v>
      </c>
      <c r="I121" s="436">
        <f t="shared" si="13"/>
        <v>-417220.88408275932</v>
      </c>
      <c r="J121" s="241">
        <f t="shared" si="14"/>
        <v>-1535170313.5794623</v>
      </c>
      <c r="N121" s="8">
        <f t="shared" si="8"/>
        <v>611</v>
      </c>
    </row>
    <row r="122" spans="1:14">
      <c r="A122" s="131">
        <f t="shared" si="9"/>
        <v>612</v>
      </c>
      <c r="B122" s="27">
        <f>'1-BaseTRR'!$F$2</f>
        <v>2022</v>
      </c>
      <c r="C122" s="306" t="s">
        <v>113</v>
      </c>
      <c r="D122" s="209">
        <f t="shared" si="10"/>
        <v>-4758925.7090689735</v>
      </c>
      <c r="E122" s="209">
        <f t="shared" si="11"/>
        <v>-1565836048.5595453</v>
      </c>
      <c r="F122" s="44">
        <v>31</v>
      </c>
      <c r="G122" s="312">
        <v>1</v>
      </c>
      <c r="H122" s="309">
        <f>G122/G110</f>
        <v>2.7397260273972603E-3</v>
      </c>
      <c r="I122" s="436">
        <f t="shared" si="13"/>
        <v>-13038.152627586229</v>
      </c>
      <c r="J122" s="438">
        <f t="shared" si="14"/>
        <v>-1535183351.7320898</v>
      </c>
      <c r="N122" s="8">
        <f t="shared" si="8"/>
        <v>612</v>
      </c>
    </row>
    <row r="123" spans="1:14">
      <c r="A123" s="131">
        <f t="shared" si="9"/>
        <v>613</v>
      </c>
      <c r="B123" s="17"/>
      <c r="C123" s="306" t="s">
        <v>209</v>
      </c>
      <c r="D123" s="209"/>
      <c r="E123" s="209">
        <f>D13</f>
        <v>-1565836048.5595448</v>
      </c>
      <c r="F123" s="286"/>
      <c r="G123" s="286"/>
      <c r="H123" s="286"/>
      <c r="I123" s="18"/>
      <c r="J123" s="439"/>
      <c r="N123" s="8">
        <f t="shared" si="8"/>
        <v>613</v>
      </c>
    </row>
    <row r="124" spans="1:14">
      <c r="A124" s="131">
        <f t="shared" si="9"/>
        <v>614</v>
      </c>
      <c r="B124" s="17"/>
      <c r="C124" s="176"/>
      <c r="D124" s="291"/>
      <c r="E124" s="291"/>
      <c r="F124" s="286"/>
      <c r="G124" s="286"/>
      <c r="H124" s="286"/>
      <c r="I124" s="313" t="s">
        <v>673</v>
      </c>
      <c r="J124" s="552">
        <f>+J122</f>
        <v>-1535183351.7320898</v>
      </c>
      <c r="N124" s="8">
        <f t="shared" si="8"/>
        <v>614</v>
      </c>
    </row>
    <row r="125" spans="1:14">
      <c r="A125" s="30"/>
      <c r="C125" s="17"/>
      <c r="K125" s="8"/>
    </row>
    <row r="126" spans="1:14">
      <c r="A126" s="30"/>
      <c r="B126" s="118" t="s">
        <v>1353</v>
      </c>
      <c r="C126" s="144"/>
      <c r="D126" s="54"/>
      <c r="E126" s="54"/>
      <c r="F126" s="54"/>
      <c r="G126" s="54"/>
      <c r="H126" s="54"/>
      <c r="I126" s="54"/>
      <c r="J126" s="54"/>
      <c r="K126" s="54"/>
      <c r="L126" s="54"/>
      <c r="M126" s="54"/>
      <c r="N126" s="8"/>
    </row>
    <row r="127" spans="1:14">
      <c r="A127" s="30"/>
      <c r="C127" s="16" t="s">
        <v>1354</v>
      </c>
      <c r="E127" s="12"/>
      <c r="F127" s="167" t="s">
        <v>1355</v>
      </c>
      <c r="G127" s="167" t="s">
        <v>1356</v>
      </c>
      <c r="H127" s="12"/>
      <c r="N127" s="8"/>
    </row>
    <row r="128" spans="1:14">
      <c r="A128" s="30"/>
      <c r="D128" s="1" t="s">
        <v>398</v>
      </c>
      <c r="E128" s="12"/>
      <c r="F128" s="519">
        <f>+C168</f>
        <v>0.05</v>
      </c>
      <c r="G128" s="519">
        <f>+C169</f>
        <v>9.5000000000000001E-2</v>
      </c>
      <c r="H128" s="519">
        <f>+'1-BaseTRR'!D117</f>
        <v>0.27983599999999997</v>
      </c>
      <c r="I128" s="8" t="s">
        <v>1478</v>
      </c>
      <c r="K128" s="363" t="s">
        <v>662</v>
      </c>
      <c r="L128" s="8" t="s">
        <v>109</v>
      </c>
      <c r="M128" s="8" t="s">
        <v>228</v>
      </c>
      <c r="N128" s="30"/>
    </row>
    <row r="129" spans="1:14">
      <c r="A129" s="30"/>
      <c r="D129" s="182" t="s">
        <v>403</v>
      </c>
      <c r="E129" s="13" t="s">
        <v>1357</v>
      </c>
      <c r="F129" s="13" t="s">
        <v>1358</v>
      </c>
      <c r="G129" s="13" t="s">
        <v>1358</v>
      </c>
      <c r="H129" s="13" t="s">
        <v>1359</v>
      </c>
      <c r="I129" s="168" t="s">
        <v>1360</v>
      </c>
      <c r="J129" s="13" t="s">
        <v>1361</v>
      </c>
      <c r="K129" s="520" t="s">
        <v>670</v>
      </c>
      <c r="L129" s="182" t="s">
        <v>1362</v>
      </c>
      <c r="M129" s="13" t="s">
        <v>1362</v>
      </c>
      <c r="N129" s="30"/>
    </row>
    <row r="130" spans="1:14">
      <c r="A130" s="30"/>
      <c r="C130" s="122" t="s">
        <v>100</v>
      </c>
      <c r="D130" s="122" t="s">
        <v>101</v>
      </c>
      <c r="E130" s="122" t="s">
        <v>102</v>
      </c>
      <c r="F130" s="122" t="s">
        <v>103</v>
      </c>
      <c r="G130" s="122" t="s">
        <v>104</v>
      </c>
      <c r="H130" s="122" t="s">
        <v>105</v>
      </c>
      <c r="I130" s="122" t="s">
        <v>106</v>
      </c>
      <c r="J130" s="122" t="s">
        <v>107</v>
      </c>
      <c r="K130" s="122" t="s">
        <v>108</v>
      </c>
      <c r="L130" s="122" t="s">
        <v>271</v>
      </c>
      <c r="M130" s="122" t="s">
        <v>272</v>
      </c>
      <c r="N130" s="30"/>
    </row>
    <row r="131" spans="1:14" ht="29">
      <c r="A131" s="119" t="s">
        <v>124</v>
      </c>
      <c r="B131" s="119" t="s">
        <v>111</v>
      </c>
      <c r="C131" s="11" t="s">
        <v>408</v>
      </c>
      <c r="D131" s="577" t="s">
        <v>1502</v>
      </c>
      <c r="E131" s="577" t="s">
        <v>1708</v>
      </c>
      <c r="F131" s="577" t="s">
        <v>1506</v>
      </c>
      <c r="G131" s="63"/>
      <c r="H131" s="577" t="s">
        <v>1499</v>
      </c>
      <c r="I131" s="30" t="s">
        <v>1498</v>
      </c>
      <c r="J131" s="30" t="s">
        <v>751</v>
      </c>
      <c r="K131" s="577" t="s">
        <v>1501</v>
      </c>
      <c r="L131" s="30" t="s">
        <v>1500</v>
      </c>
      <c r="M131" s="578" t="s">
        <v>1503</v>
      </c>
      <c r="N131" s="30"/>
    </row>
    <row r="132" spans="1:14">
      <c r="A132" s="131">
        <v>700</v>
      </c>
      <c r="B132" s="27">
        <f>'1-BaseTRR'!$F$1-1</f>
        <v>2023</v>
      </c>
      <c r="C132" s="306" t="s">
        <v>114</v>
      </c>
      <c r="D132" s="183">
        <f>+'9-PlantAdditions'!D15</f>
        <v>55340744.102750301</v>
      </c>
      <c r="E132" s="39">
        <f>+D132*'12-DepRates'!$N$21/12*12</f>
        <v>1585294.1537703876</v>
      </c>
      <c r="F132" s="39">
        <f>+D132*$F$128</f>
        <v>2767037.2051375154</v>
      </c>
      <c r="G132" s="39"/>
      <c r="H132" s="39">
        <f>+(E132-F132)*$H$128</f>
        <v>-330694.24852237152</v>
      </c>
      <c r="I132" s="33">
        <f>-'1-BaseTRR'!$D$106/12</f>
        <v>1767399.8999140516</v>
      </c>
      <c r="J132" s="33">
        <f>+H132+I132</f>
        <v>1436705.6513916801</v>
      </c>
      <c r="K132" s="359">
        <f t="shared" ref="K132:K143" si="15">+H111</f>
        <v>0.9178082191780822</v>
      </c>
      <c r="L132" s="39">
        <f t="shared" ref="L132:L143" si="16">+J132*K132</f>
        <v>1318620.2553868846</v>
      </c>
      <c r="M132" s="158">
        <f>+L132</f>
        <v>1318620.2553868846</v>
      </c>
      <c r="N132" s="8">
        <f t="shared" ref="N132:N144" si="17">+A132</f>
        <v>700</v>
      </c>
    </row>
    <row r="133" spans="1:14">
      <c r="A133" s="131">
        <f t="shared" ref="A133:A161" si="18">A132+1</f>
        <v>701</v>
      </c>
      <c r="B133" s="27">
        <f>+B132</f>
        <v>2023</v>
      </c>
      <c r="C133" s="306" t="s">
        <v>115</v>
      </c>
      <c r="D133" s="183">
        <f>+'9-PlantAdditions'!D16</f>
        <v>69352119.224187255</v>
      </c>
      <c r="E133" s="39">
        <f>+D133*'12-DepRates'!$N$21/12*11</f>
        <v>1821109.4139626527</v>
      </c>
      <c r="F133" s="39">
        <f t="shared" ref="F133:F143" si="19">+D133*$F$128</f>
        <v>3467605.9612093628</v>
      </c>
      <c r="G133" s="39"/>
      <c r="H133" s="39">
        <f t="shared" ref="H133:H143" si="20">+(E133-F133)*$H$128</f>
        <v>-460749.00779533037</v>
      </c>
      <c r="I133" s="33">
        <f>-'1-BaseTRR'!$D$106/12</f>
        <v>1767399.8999140516</v>
      </c>
      <c r="J133" s="33">
        <f t="shared" ref="J133:J143" si="21">+H133+I133</f>
        <v>1306650.8921187213</v>
      </c>
      <c r="K133" s="359">
        <f t="shared" si="15"/>
        <v>0.84109589041095889</v>
      </c>
      <c r="L133" s="39">
        <f t="shared" si="16"/>
        <v>1099018.6955628695</v>
      </c>
      <c r="M133" s="158">
        <f t="shared" ref="M133:M143" si="22">+L133+M132</f>
        <v>2417638.9509497541</v>
      </c>
      <c r="N133" s="8">
        <f t="shared" si="17"/>
        <v>701</v>
      </c>
    </row>
    <row r="134" spans="1:14">
      <c r="A134" s="131">
        <f t="shared" si="18"/>
        <v>702</v>
      </c>
      <c r="B134" s="27">
        <f t="shared" ref="B134:B143" si="23">+B133</f>
        <v>2023</v>
      </c>
      <c r="C134" s="306" t="s">
        <v>116</v>
      </c>
      <c r="D134" s="183">
        <f>+'9-PlantAdditions'!D17</f>
        <v>84168508.657962263</v>
      </c>
      <c r="E134" s="39">
        <f>+D134*'12-DepRates'!$N$21/12*10</f>
        <v>2009246.6360062398</v>
      </c>
      <c r="F134" s="39">
        <f t="shared" si="19"/>
        <v>4208425.4328981135</v>
      </c>
      <c r="G134" s="39"/>
      <c r="H134" s="39">
        <f t="shared" si="20"/>
        <v>-615409.39780703431</v>
      </c>
      <c r="I134" s="33">
        <f>-'1-BaseTRR'!$D$106/12</f>
        <v>1767399.8999140516</v>
      </c>
      <c r="J134" s="33">
        <f t="shared" si="21"/>
        <v>1151990.5021070172</v>
      </c>
      <c r="K134" s="359">
        <f t="shared" si="15"/>
        <v>0.75616438356164384</v>
      </c>
      <c r="L134" s="39">
        <f t="shared" si="16"/>
        <v>871094.18789462128</v>
      </c>
      <c r="M134" s="158">
        <f t="shared" si="22"/>
        <v>3288733.1388443755</v>
      </c>
      <c r="N134" s="8">
        <f t="shared" si="17"/>
        <v>702</v>
      </c>
    </row>
    <row r="135" spans="1:14">
      <c r="A135" s="131">
        <f t="shared" si="18"/>
        <v>703</v>
      </c>
      <c r="B135" s="27">
        <f t="shared" si="23"/>
        <v>2023</v>
      </c>
      <c r="C135" s="306" t="s">
        <v>117</v>
      </c>
      <c r="D135" s="183">
        <f>+'9-PlantAdditions'!D18</f>
        <v>195584190.89286771</v>
      </c>
      <c r="E135" s="39">
        <f>+D135*'12-DepRates'!$N$21/12*9</f>
        <v>4202037.026508362</v>
      </c>
      <c r="F135" s="39">
        <f t="shared" si="19"/>
        <v>9779209.5446433853</v>
      </c>
      <c r="G135" s="39"/>
      <c r="H135" s="39">
        <f t="shared" si="20"/>
        <v>-1560693.6487848323</v>
      </c>
      <c r="I135" s="33">
        <f>-'1-BaseTRR'!$D$106/12</f>
        <v>1767399.8999140516</v>
      </c>
      <c r="J135" s="33">
        <f t="shared" si="21"/>
        <v>206706.25112921931</v>
      </c>
      <c r="K135" s="359">
        <f t="shared" si="15"/>
        <v>0.67397260273972603</v>
      </c>
      <c r="L135" s="39">
        <f t="shared" si="16"/>
        <v>139314.35007613138</v>
      </c>
      <c r="M135" s="158">
        <f t="shared" si="22"/>
        <v>3428047.488920507</v>
      </c>
      <c r="N135" s="8">
        <f t="shared" si="17"/>
        <v>703</v>
      </c>
    </row>
    <row r="136" spans="1:14">
      <c r="A136" s="131">
        <f t="shared" si="18"/>
        <v>704</v>
      </c>
      <c r="B136" s="27">
        <f t="shared" si="23"/>
        <v>2023</v>
      </c>
      <c r="C136" s="306" t="s">
        <v>90</v>
      </c>
      <c r="D136" s="183">
        <f>+'9-PlantAdditions'!D19</f>
        <v>122601960.12913752</v>
      </c>
      <c r="E136" s="39">
        <f>+D136*'12-DepRates'!$N$21/12*8</f>
        <v>2341375.2234417181</v>
      </c>
      <c r="F136" s="39">
        <f t="shared" si="19"/>
        <v>6130098.0064568762</v>
      </c>
      <c r="G136" s="39"/>
      <c r="H136" s="39">
        <f t="shared" si="20"/>
        <v>-1060221.0287078298</v>
      </c>
      <c r="I136" s="33">
        <f>-'1-BaseTRR'!$D$106/12</f>
        <v>1767399.8999140516</v>
      </c>
      <c r="J136" s="33">
        <f t="shared" si="21"/>
        <v>707178.87120622187</v>
      </c>
      <c r="K136" s="359">
        <f t="shared" si="15"/>
        <v>0.58904109589041098</v>
      </c>
      <c r="L136" s="39">
        <f t="shared" si="16"/>
        <v>416557.41728585673</v>
      </c>
      <c r="M136" s="158">
        <f t="shared" si="22"/>
        <v>3844604.9062063638</v>
      </c>
      <c r="N136" s="8">
        <f t="shared" si="17"/>
        <v>704</v>
      </c>
    </row>
    <row r="137" spans="1:14">
      <c r="A137" s="131">
        <f t="shared" si="18"/>
        <v>705</v>
      </c>
      <c r="B137" s="27">
        <f t="shared" si="23"/>
        <v>2023</v>
      </c>
      <c r="C137" s="306" t="s">
        <v>277</v>
      </c>
      <c r="D137" s="183">
        <f>+'9-PlantAdditions'!D20</f>
        <v>246277910.87847403</v>
      </c>
      <c r="E137" s="39">
        <f>+D137*'12-DepRates'!$N$21/12*7</f>
        <v>4115353.2394907828</v>
      </c>
      <c r="F137" s="39">
        <f t="shared" si="19"/>
        <v>12313895.543923702</v>
      </c>
      <c r="G137" s="39"/>
      <c r="H137" s="39">
        <f t="shared" si="20"/>
        <v>-2294247.2843032903</v>
      </c>
      <c r="I137" s="33">
        <f>-'1-BaseTRR'!$D$106/12</f>
        <v>1767399.8999140516</v>
      </c>
      <c r="J137" s="33">
        <f t="shared" si="21"/>
        <v>-526847.38438923866</v>
      </c>
      <c r="K137" s="359">
        <f t="shared" si="15"/>
        <v>0.50684931506849318</v>
      </c>
      <c r="L137" s="39">
        <f t="shared" si="16"/>
        <v>-267032.23592331278</v>
      </c>
      <c r="M137" s="158">
        <f t="shared" si="22"/>
        <v>3577572.6702830512</v>
      </c>
      <c r="N137" s="8">
        <f t="shared" si="17"/>
        <v>705</v>
      </c>
    </row>
    <row r="138" spans="1:14">
      <c r="A138" s="131">
        <f t="shared" si="18"/>
        <v>706</v>
      </c>
      <c r="B138" s="27">
        <f t="shared" si="23"/>
        <v>2023</v>
      </c>
      <c r="C138" s="306" t="s">
        <v>119</v>
      </c>
      <c r="D138" s="183">
        <f>+'9-PlantAdditions'!D21</f>
        <v>41886224.018000633</v>
      </c>
      <c r="E138" s="39">
        <f>+D138*'12-DepRates'!$N$21/12*6</f>
        <v>599937.5969355026</v>
      </c>
      <c r="F138" s="39">
        <f t="shared" si="19"/>
        <v>2094311.2009000317</v>
      </c>
      <c r="G138" s="39"/>
      <c r="H138" s="39">
        <f t="shared" si="20"/>
        <v>-418179.53183901787</v>
      </c>
      <c r="I138" s="33">
        <f>-'1-BaseTRR'!$D$106/12</f>
        <v>1767399.8999140516</v>
      </c>
      <c r="J138" s="33">
        <f t="shared" si="21"/>
        <v>1349220.3680750336</v>
      </c>
      <c r="K138" s="359">
        <f t="shared" si="15"/>
        <v>0.42191780821917807</v>
      </c>
      <c r="L138" s="39">
        <f t="shared" si="16"/>
        <v>569260.10050289088</v>
      </c>
      <c r="M138" s="158">
        <f t="shared" si="22"/>
        <v>4146832.7707859422</v>
      </c>
      <c r="N138" s="8">
        <f t="shared" si="17"/>
        <v>706</v>
      </c>
    </row>
    <row r="139" spans="1:14">
      <c r="A139" s="131">
        <f t="shared" si="18"/>
        <v>707</v>
      </c>
      <c r="B139" s="27">
        <f t="shared" si="23"/>
        <v>2023</v>
      </c>
      <c r="C139" s="306" t="s">
        <v>120</v>
      </c>
      <c r="D139" s="183">
        <f>+'9-PlantAdditions'!D22</f>
        <v>64514102.755534619</v>
      </c>
      <c r="E139" s="39">
        <f>+D139*'12-DepRates'!$N$21/12*5</f>
        <v>770031.1316152591</v>
      </c>
      <c r="F139" s="39">
        <f t="shared" si="19"/>
        <v>3225705.137776731</v>
      </c>
      <c r="G139" s="39"/>
      <c r="H139" s="39">
        <f t="shared" si="20"/>
        <v>-687185.99118820159</v>
      </c>
      <c r="I139" s="33">
        <f>-'1-BaseTRR'!$D$106/12</f>
        <v>1767399.8999140516</v>
      </c>
      <c r="J139" s="33">
        <f t="shared" si="21"/>
        <v>1080213.9087258501</v>
      </c>
      <c r="K139" s="359">
        <f t="shared" si="15"/>
        <v>0.33698630136986302</v>
      </c>
      <c r="L139" s="39">
        <f t="shared" si="16"/>
        <v>364017.28978980699</v>
      </c>
      <c r="M139" s="158">
        <f t="shared" si="22"/>
        <v>4510850.0605757488</v>
      </c>
      <c r="N139" s="8">
        <f t="shared" si="17"/>
        <v>707</v>
      </c>
    </row>
    <row r="140" spans="1:14">
      <c r="A140" s="131">
        <f t="shared" si="18"/>
        <v>708</v>
      </c>
      <c r="B140" s="27">
        <f t="shared" si="23"/>
        <v>2023</v>
      </c>
      <c r="C140" s="306" t="s">
        <v>121</v>
      </c>
      <c r="D140" s="183">
        <f>+'9-PlantAdditions'!D23</f>
        <v>102755732.31802866</v>
      </c>
      <c r="E140" s="39">
        <f>+D140*'12-DepRates'!$N$21/12*4</f>
        <v>981182.21545000933</v>
      </c>
      <c r="F140" s="39">
        <f t="shared" si="19"/>
        <v>5137786.6159014329</v>
      </c>
      <c r="G140" s="39"/>
      <c r="H140" s="39">
        <f t="shared" si="20"/>
        <v>-1163167.5490047245</v>
      </c>
      <c r="I140" s="33">
        <f>-'1-BaseTRR'!$D$106/12</f>
        <v>1767399.8999140516</v>
      </c>
      <c r="J140" s="33">
        <f t="shared" si="21"/>
        <v>604232.35090932716</v>
      </c>
      <c r="K140" s="359">
        <f t="shared" si="15"/>
        <v>0.25479452054794521</v>
      </c>
      <c r="L140" s="39">
        <f t="shared" si="16"/>
        <v>153955.0921494998</v>
      </c>
      <c r="M140" s="158">
        <f t="shared" si="22"/>
        <v>4664805.1527252486</v>
      </c>
      <c r="N140" s="8">
        <f t="shared" si="17"/>
        <v>708</v>
      </c>
    </row>
    <row r="141" spans="1:14">
      <c r="A141" s="131">
        <f t="shared" si="18"/>
        <v>709</v>
      </c>
      <c r="B141" s="27">
        <f t="shared" si="23"/>
        <v>2023</v>
      </c>
      <c r="C141" s="306" t="s">
        <v>122</v>
      </c>
      <c r="D141" s="183">
        <f>+'9-PlantAdditions'!D24</f>
        <v>87574375.395581886</v>
      </c>
      <c r="E141" s="39">
        <f>+D141*'12-DepRates'!$N$21/12*3</f>
        <v>627165.15465053939</v>
      </c>
      <c r="F141" s="39">
        <f t="shared" si="19"/>
        <v>4378718.7697790945</v>
      </c>
      <c r="G141" s="39"/>
      <c r="H141" s="39">
        <f t="shared" si="20"/>
        <v>-1049819.7574431144</v>
      </c>
      <c r="I141" s="33">
        <f>-'1-BaseTRR'!$D$106/12</f>
        <v>1767399.8999140516</v>
      </c>
      <c r="J141" s="33">
        <f t="shared" si="21"/>
        <v>717580.14247093722</v>
      </c>
      <c r="K141" s="359">
        <f t="shared" si="15"/>
        <v>0.16986301369863013</v>
      </c>
      <c r="L141" s="39">
        <f t="shared" si="16"/>
        <v>121890.32557040577</v>
      </c>
      <c r="M141" s="158">
        <f t="shared" si="22"/>
        <v>4786695.4782956541</v>
      </c>
      <c r="N141" s="8">
        <f t="shared" si="17"/>
        <v>709</v>
      </c>
    </row>
    <row r="142" spans="1:14">
      <c r="A142" s="131">
        <f t="shared" si="18"/>
        <v>710</v>
      </c>
      <c r="B142" s="27">
        <f t="shared" si="23"/>
        <v>2023</v>
      </c>
      <c r="C142" s="306" t="s">
        <v>123</v>
      </c>
      <c r="D142" s="183">
        <f>+'9-PlantAdditions'!D25</f>
        <v>60098352.574760981</v>
      </c>
      <c r="E142" s="39">
        <f>+D142*'12-DepRates'!$N$21/12*2</f>
        <v>286930.146834513</v>
      </c>
      <c r="F142" s="39">
        <f t="shared" si="19"/>
        <v>3004917.6287380494</v>
      </c>
      <c r="G142" s="39"/>
      <c r="H142" s="39">
        <f t="shared" si="20"/>
        <v>-760590.74498595786</v>
      </c>
      <c r="I142" s="33">
        <f>-'1-BaseTRR'!$D$106/12</f>
        <v>1767399.8999140516</v>
      </c>
      <c r="J142" s="33">
        <f t="shared" si="21"/>
        <v>1006809.1549280938</v>
      </c>
      <c r="K142" s="359">
        <f t="shared" si="15"/>
        <v>8.7671232876712329E-2</v>
      </c>
      <c r="L142" s="39">
        <f t="shared" si="16"/>
        <v>88268.199884106856</v>
      </c>
      <c r="M142" s="158">
        <f t="shared" si="22"/>
        <v>4874963.6781797605</v>
      </c>
      <c r="N142" s="8">
        <f t="shared" si="17"/>
        <v>710</v>
      </c>
    </row>
    <row r="143" spans="1:14">
      <c r="A143" s="131">
        <f t="shared" si="18"/>
        <v>711</v>
      </c>
      <c r="B143" s="27">
        <f t="shared" si="23"/>
        <v>2023</v>
      </c>
      <c r="C143" s="306" t="s">
        <v>113</v>
      </c>
      <c r="D143" s="521">
        <f>+'9-PlantAdditions'!D26</f>
        <v>130277673.49302877</v>
      </c>
      <c r="E143" s="522">
        <f>+D143*'12-DepRates'!$N$21/12*1</f>
        <v>310995.14698104985</v>
      </c>
      <c r="F143" s="522">
        <f t="shared" si="19"/>
        <v>6513883.6746514393</v>
      </c>
      <c r="G143" s="522"/>
      <c r="H143" s="522">
        <f t="shared" si="20"/>
        <v>-1735791.5140291709</v>
      </c>
      <c r="I143" s="523">
        <f>-'1-BaseTRR'!$D$106/12</f>
        <v>1767399.8999140516</v>
      </c>
      <c r="J143" s="523">
        <f t="shared" si="21"/>
        <v>31608.385884880787</v>
      </c>
      <c r="K143" s="359">
        <f t="shared" si="15"/>
        <v>2.7397260273972603E-3</v>
      </c>
      <c r="L143" s="39">
        <f t="shared" si="16"/>
        <v>86.59831749282408</v>
      </c>
      <c r="M143" s="158">
        <f t="shared" si="22"/>
        <v>4875050.2764972532</v>
      </c>
      <c r="N143" s="8">
        <f t="shared" si="17"/>
        <v>711</v>
      </c>
    </row>
    <row r="144" spans="1:14">
      <c r="A144" s="131">
        <f t="shared" si="18"/>
        <v>712</v>
      </c>
      <c r="C144" s="306" t="s">
        <v>1477</v>
      </c>
      <c r="D144" s="529">
        <f>SUM(D132:D143)</f>
        <v>1260431894.4403148</v>
      </c>
      <c r="E144" s="530">
        <f>SUM(E132:E143)</f>
        <v>19650657.085647017</v>
      </c>
      <c r="F144" s="530">
        <f>SUM(F132:F143)</f>
        <v>63021594.722015731</v>
      </c>
      <c r="G144" s="530"/>
      <c r="H144" s="530">
        <f>SUM(H132:H143)</f>
        <v>-12136749.704410877</v>
      </c>
      <c r="I144" s="353">
        <f>SUM(I132:I143)</f>
        <v>21208798.798968624</v>
      </c>
      <c r="J144" s="353">
        <f>SUM(J132:J143)</f>
        <v>9072049.0945577435</v>
      </c>
      <c r="K144" s="524"/>
      <c r="N144" s="8">
        <f t="shared" si="17"/>
        <v>712</v>
      </c>
    </row>
    <row r="145" spans="1:16">
      <c r="A145" s="131"/>
      <c r="C145" s="306"/>
      <c r="D145" s="183"/>
      <c r="E145" s="158"/>
      <c r="F145" s="158"/>
      <c r="G145" s="158"/>
      <c r="H145" s="158"/>
      <c r="J145" s="33"/>
      <c r="K145" s="524"/>
      <c r="N145" s="12"/>
    </row>
    <row r="146" spans="1:16">
      <c r="A146" s="131">
        <f>A144+1</f>
        <v>713</v>
      </c>
      <c r="C146" s="306" t="s">
        <v>143</v>
      </c>
      <c r="D146" s="183"/>
      <c r="H146" s="158">
        <f>+H144</f>
        <v>-12136749.704410877</v>
      </c>
      <c r="I146" s="12"/>
      <c r="J146" s="158">
        <f>+J144</f>
        <v>9072049.0945577435</v>
      </c>
      <c r="K146" s="63">
        <f>+H110</f>
        <v>1</v>
      </c>
      <c r="L146" s="39">
        <f>+J146*K146</f>
        <v>9072049.0945577435</v>
      </c>
      <c r="M146" s="158">
        <f t="shared" ref="M146" si="24">+L146+M145</f>
        <v>9072049.0945577435</v>
      </c>
      <c r="N146" s="8">
        <f>+A146</f>
        <v>713</v>
      </c>
    </row>
    <row r="147" spans="1:16" ht="29">
      <c r="A147" s="131"/>
      <c r="C147" s="306"/>
      <c r="D147" s="182" t="s">
        <v>403</v>
      </c>
      <c r="E147" s="168" t="s">
        <v>1409</v>
      </c>
      <c r="F147" s="168" t="s">
        <v>1410</v>
      </c>
      <c r="G147" s="168" t="s">
        <v>1411</v>
      </c>
      <c r="H147" s="13" t="s">
        <v>1359</v>
      </c>
      <c r="I147" s="168" t="s">
        <v>1360</v>
      </c>
      <c r="J147" s="525" t="s">
        <v>1361</v>
      </c>
      <c r="K147" s="526" t="s">
        <v>1366</v>
      </c>
      <c r="L147" s="527" t="s">
        <v>1367</v>
      </c>
      <c r="M147" s="168" t="s">
        <v>1368</v>
      </c>
      <c r="N147" s="8"/>
    </row>
    <row r="148" spans="1:16" ht="102.75" customHeight="1">
      <c r="A148" s="119" t="s">
        <v>124</v>
      </c>
      <c r="B148" s="119"/>
      <c r="C148" s="11" t="s">
        <v>1408</v>
      </c>
      <c r="D148" s="577" t="s">
        <v>1505</v>
      </c>
      <c r="E148" s="577" t="s">
        <v>1709</v>
      </c>
      <c r="F148" s="577" t="s">
        <v>1506</v>
      </c>
      <c r="G148" s="577" t="s">
        <v>1507</v>
      </c>
      <c r="H148" s="577" t="s">
        <v>1504</v>
      </c>
      <c r="I148" s="30" t="s">
        <v>1498</v>
      </c>
      <c r="J148" s="30" t="s">
        <v>751</v>
      </c>
      <c r="K148" s="577" t="s">
        <v>1501</v>
      </c>
      <c r="L148" s="30" t="s">
        <v>1500</v>
      </c>
      <c r="M148" s="578" t="s">
        <v>1503</v>
      </c>
      <c r="N148" s="12"/>
    </row>
    <row r="149" spans="1:16">
      <c r="A149" s="131">
        <f>A146+1</f>
        <v>714</v>
      </c>
      <c r="B149" s="27">
        <f>'1-BaseTRR'!$F$1</f>
        <v>2024</v>
      </c>
      <c r="C149" s="306" t="s">
        <v>114</v>
      </c>
      <c r="D149" s="183">
        <f>+'9-PlantAdditions'!D27</f>
        <v>55109132.746046238</v>
      </c>
      <c r="E149" s="39">
        <f>+(($D$144/12)*'12-DepRates'!$N$21)+((D149*'12-DepRates'!$N$21)/12*12)</f>
        <v>4587526.475619074</v>
      </c>
      <c r="F149" s="39">
        <f>+D149*$F$128</f>
        <v>2755456.6373023121</v>
      </c>
      <c r="G149" s="39">
        <f>+$D$144*$G$128/12</f>
        <v>9978419.1643191595</v>
      </c>
      <c r="H149" s="39">
        <f t="shared" ref="H149:H160" si="25">+(E149-F149-G149)*$H$128</f>
        <v>-2279641.8099912065</v>
      </c>
      <c r="I149" s="33">
        <f>-'1-BaseTRR'!$D$106/12</f>
        <v>1767399.8999140516</v>
      </c>
      <c r="J149" s="33">
        <f>+H149+I149</f>
        <v>-512241.91007715487</v>
      </c>
      <c r="K149" s="31">
        <f t="shared" ref="K149:K160" si="26">+K132</f>
        <v>0.9178082191780822</v>
      </c>
      <c r="L149" s="39">
        <f t="shared" ref="L149:L160" si="27">+J149*K149</f>
        <v>-470139.83527629281</v>
      </c>
      <c r="M149" s="158">
        <f>+L149+M146</f>
        <v>8601909.2592814509</v>
      </c>
      <c r="N149" s="8">
        <f t="shared" ref="N149:N161" si="28">+A149</f>
        <v>714</v>
      </c>
      <c r="P149" s="30"/>
    </row>
    <row r="150" spans="1:16">
      <c r="A150" s="131">
        <f t="shared" si="18"/>
        <v>715</v>
      </c>
      <c r="B150" s="27">
        <f>'1-BaseTRR'!$F$1</f>
        <v>2024</v>
      </c>
      <c r="C150" s="306" t="s">
        <v>115</v>
      </c>
      <c r="D150" s="183">
        <f>+'9-PlantAdditions'!D28</f>
        <v>106226944.35288081</v>
      </c>
      <c r="E150" s="39">
        <f>+(($D$144/12)*'12-DepRates'!$N$21)+((D150*'12-DepRates'!$N$21)/12*11)</f>
        <v>5798268.3288213722</v>
      </c>
      <c r="F150" s="39">
        <f t="shared" ref="F150:F160" si="29">+D150*$F$128</f>
        <v>5311347.2176440405</v>
      </c>
      <c r="G150" s="39">
        <f t="shared" ref="G150:G160" si="30">+$D$144*$G$128/12</f>
        <v>9978419.1643191595</v>
      </c>
      <c r="H150" s="39">
        <f t="shared" si="25"/>
        <v>-2656062.8491989966</v>
      </c>
      <c r="I150" s="33">
        <f>-'1-BaseTRR'!$D$106/12</f>
        <v>1767399.8999140516</v>
      </c>
      <c r="J150" s="33">
        <f t="shared" ref="J150:J160" si="31">+H150+I150</f>
        <v>-888662.94928494492</v>
      </c>
      <c r="K150" s="31">
        <f t="shared" si="26"/>
        <v>0.84109589041095889</v>
      </c>
      <c r="L150" s="39">
        <f t="shared" si="27"/>
        <v>-747450.75460404949</v>
      </c>
      <c r="M150" s="158">
        <f t="shared" ref="M150:M160" si="32">+L150+M149</f>
        <v>7854458.5046774019</v>
      </c>
      <c r="N150" s="8">
        <f t="shared" si="28"/>
        <v>715</v>
      </c>
      <c r="P150" s="30"/>
    </row>
    <row r="151" spans="1:16">
      <c r="A151" s="131">
        <f t="shared" si="18"/>
        <v>716</v>
      </c>
      <c r="B151" s="27">
        <f>'1-BaseTRR'!$F$1</f>
        <v>2024</v>
      </c>
      <c r="C151" s="306" t="s">
        <v>116</v>
      </c>
      <c r="D151" s="183">
        <f>+'9-PlantAdditions'!D29</f>
        <v>88345572.166623652</v>
      </c>
      <c r="E151" s="39">
        <f>+(($D$144/12)*'12-DepRates'!$N$21)+((D151*'12-DepRates'!$N$21)/12*10)</f>
        <v>5117827.3790526893</v>
      </c>
      <c r="F151" s="39">
        <f t="shared" si="29"/>
        <v>4417278.608331183</v>
      </c>
      <c r="G151" s="39">
        <f t="shared" si="30"/>
        <v>9978419.1643191595</v>
      </c>
      <c r="H151" s="39">
        <f t="shared" si="25"/>
        <v>-2596282.1394627928</v>
      </c>
      <c r="I151" s="33">
        <f>-'1-BaseTRR'!$D$106/12</f>
        <v>1767399.8999140516</v>
      </c>
      <c r="J151" s="33">
        <f t="shared" si="31"/>
        <v>-828882.23954874114</v>
      </c>
      <c r="K151" s="31">
        <f t="shared" si="26"/>
        <v>0.75616438356164384</v>
      </c>
      <c r="L151" s="39">
        <f t="shared" si="27"/>
        <v>-626771.2277135686</v>
      </c>
      <c r="M151" s="158">
        <f t="shared" si="32"/>
        <v>7227687.2769638337</v>
      </c>
      <c r="N151" s="8">
        <f t="shared" si="28"/>
        <v>716</v>
      </c>
    </row>
    <row r="152" spans="1:16">
      <c r="A152" s="131">
        <f t="shared" si="18"/>
        <v>717</v>
      </c>
      <c r="B152" s="27">
        <f>'1-BaseTRR'!$F$1</f>
        <v>2024</v>
      </c>
      <c r="C152" s="306" t="s">
        <v>117</v>
      </c>
      <c r="D152" s="183">
        <f>+'9-PlantAdditions'!D30</f>
        <v>119667139.64027068</v>
      </c>
      <c r="E152" s="39">
        <f>+(($D$144/12)*'12-DepRates'!$N$21)+((D152*'12-DepRates'!$N$21)/12*9)</f>
        <v>5579860.9225318823</v>
      </c>
      <c r="F152" s="39">
        <f t="shared" si="29"/>
        <v>5983356.9820135348</v>
      </c>
      <c r="G152" s="39">
        <f t="shared" si="30"/>
        <v>9978419.1643191595</v>
      </c>
      <c r="H152" s="39">
        <f t="shared" si="25"/>
        <v>-2905233.6285675238</v>
      </c>
      <c r="I152" s="33">
        <f>-'1-BaseTRR'!$D$106/12</f>
        <v>1767399.8999140516</v>
      </c>
      <c r="J152" s="33">
        <f t="shared" si="31"/>
        <v>-1137833.7286534721</v>
      </c>
      <c r="K152" s="31">
        <f t="shared" si="26"/>
        <v>0.67397260273972603</v>
      </c>
      <c r="L152" s="39">
        <f t="shared" si="27"/>
        <v>-766868.75958562782</v>
      </c>
      <c r="M152" s="158">
        <f t="shared" si="32"/>
        <v>6460818.5173782054</v>
      </c>
      <c r="N152" s="8">
        <f t="shared" si="28"/>
        <v>717</v>
      </c>
    </row>
    <row r="153" spans="1:16">
      <c r="A153" s="131">
        <f t="shared" si="18"/>
        <v>718</v>
      </c>
      <c r="B153" s="27">
        <f>'1-BaseTRR'!$F$1</f>
        <v>2024</v>
      </c>
      <c r="C153" s="306" t="s">
        <v>90</v>
      </c>
      <c r="D153" s="183">
        <f>+'9-PlantAdditions'!D31</f>
        <v>116543495.15783252</v>
      </c>
      <c r="E153" s="39">
        <f>+(($D$144/12)*'12-DepRates'!$N$21)+((D153*'12-DepRates'!$N$21)/12*8)</f>
        <v>5234541.5391373495</v>
      </c>
      <c r="F153" s="39">
        <f t="shared" si="29"/>
        <v>5827174.7578916261</v>
      </c>
      <c r="G153" s="39">
        <f t="shared" si="30"/>
        <v>9978419.1643191595</v>
      </c>
      <c r="H153" s="39">
        <f t="shared" si="25"/>
        <v>-2958161.0146697378</v>
      </c>
      <c r="I153" s="33">
        <f>-'1-BaseTRR'!$D$106/12</f>
        <v>1767399.8999140516</v>
      </c>
      <c r="J153" s="33">
        <f t="shared" si="31"/>
        <v>-1190761.1147556861</v>
      </c>
      <c r="K153" s="31">
        <f t="shared" si="26"/>
        <v>0.58904109589041098</v>
      </c>
      <c r="L153" s="39">
        <f t="shared" si="27"/>
        <v>-701407.23197937675</v>
      </c>
      <c r="M153" s="158">
        <f t="shared" si="32"/>
        <v>5759411.2853988288</v>
      </c>
      <c r="N153" s="8">
        <f t="shared" si="28"/>
        <v>718</v>
      </c>
    </row>
    <row r="154" spans="1:16">
      <c r="A154" s="131">
        <f t="shared" si="18"/>
        <v>719</v>
      </c>
      <c r="B154" s="27">
        <f>'1-BaseTRR'!$F$1</f>
        <v>2024</v>
      </c>
      <c r="C154" s="306" t="s">
        <v>277</v>
      </c>
      <c r="D154" s="183">
        <f>+'9-PlantAdditions'!D32</f>
        <v>66454498.352867521</v>
      </c>
      <c r="E154" s="39">
        <f>+(($D$144/12)*'12-DepRates'!$N$21)+((D154*'12-DepRates'!$N$21)/12*7)</f>
        <v>4119335.0576635785</v>
      </c>
      <c r="F154" s="39">
        <f t="shared" si="29"/>
        <v>3322724.9176433762</v>
      </c>
      <c r="G154" s="39">
        <f t="shared" si="30"/>
        <v>9978419.1643191595</v>
      </c>
      <c r="H154" s="39">
        <f t="shared" si="25"/>
        <v>-2569400.7101237224</v>
      </c>
      <c r="I154" s="33">
        <f>-'1-BaseTRR'!$D$106/12</f>
        <v>1767399.8999140516</v>
      </c>
      <c r="J154" s="33">
        <f t="shared" si="31"/>
        <v>-802000.8102096708</v>
      </c>
      <c r="K154" s="31">
        <f t="shared" si="26"/>
        <v>0.50684931506849318</v>
      </c>
      <c r="L154" s="39">
        <f t="shared" si="27"/>
        <v>-406493.56133914826</v>
      </c>
      <c r="M154" s="158">
        <f t="shared" si="32"/>
        <v>5352917.7240596805</v>
      </c>
      <c r="N154" s="8">
        <f t="shared" si="28"/>
        <v>719</v>
      </c>
    </row>
    <row r="155" spans="1:16">
      <c r="A155" s="131">
        <f t="shared" si="18"/>
        <v>720</v>
      </c>
      <c r="B155" s="27">
        <f>'1-BaseTRR'!$F$1</f>
        <v>2024</v>
      </c>
      <c r="C155" s="306" t="s">
        <v>119</v>
      </c>
      <c r="D155" s="183">
        <f>+'9-PlantAdditions'!D33</f>
        <v>98550311.261942178</v>
      </c>
      <c r="E155" s="39">
        <f>+(($D$144/12)*'12-DepRates'!$N$21)+((D155*'12-DepRates'!$N$21)/12*6)</f>
        <v>4420406.0300286207</v>
      </c>
      <c r="F155" s="39">
        <f t="shared" si="29"/>
        <v>4927515.5630971091</v>
      </c>
      <c r="G155" s="39">
        <f t="shared" si="30"/>
        <v>9978419.1643191595</v>
      </c>
      <c r="H155" s="39">
        <f t="shared" si="25"/>
        <v>-2934228.4085621694</v>
      </c>
      <c r="I155" s="33">
        <f>-'1-BaseTRR'!$D$106/12</f>
        <v>1767399.8999140516</v>
      </c>
      <c r="J155" s="33">
        <f t="shared" si="31"/>
        <v>-1166828.5086481178</v>
      </c>
      <c r="K155" s="31">
        <f t="shared" si="26"/>
        <v>0.42191780821917807</v>
      </c>
      <c r="L155" s="39">
        <f t="shared" si="27"/>
        <v>-492305.72693646612</v>
      </c>
      <c r="M155" s="158">
        <f t="shared" si="32"/>
        <v>4860611.9971232144</v>
      </c>
      <c r="N155" s="8">
        <f t="shared" si="28"/>
        <v>720</v>
      </c>
    </row>
    <row r="156" spans="1:16">
      <c r="A156" s="131">
        <f t="shared" si="18"/>
        <v>721</v>
      </c>
      <c r="B156" s="27">
        <f>'1-BaseTRR'!$F$1</f>
        <v>2024</v>
      </c>
      <c r="C156" s="306" t="s">
        <v>120</v>
      </c>
      <c r="D156" s="183">
        <f>+'9-PlantAdditions'!D34</f>
        <v>140050138.26468539</v>
      </c>
      <c r="E156" s="39">
        <f>+(($D$144/12)*'12-DepRates'!$N$21)+((D156*'12-DepRates'!$N$21)/12*5)</f>
        <v>4680485.5551508479</v>
      </c>
      <c r="F156" s="39">
        <f t="shared" si="29"/>
        <v>7002506.9132342702</v>
      </c>
      <c r="G156" s="39">
        <f t="shared" si="30"/>
        <v>9978419.1643191595</v>
      </c>
      <c r="H156" s="39">
        <f t="shared" si="25"/>
        <v>-3442106.0740270484</v>
      </c>
      <c r="I156" s="33">
        <f>-'1-BaseTRR'!$D$106/12</f>
        <v>1767399.8999140516</v>
      </c>
      <c r="J156" s="33">
        <f t="shared" si="31"/>
        <v>-1674706.1741129968</v>
      </c>
      <c r="K156" s="31">
        <f t="shared" si="26"/>
        <v>0.33698630136986302</v>
      </c>
      <c r="L156" s="39">
        <f t="shared" si="27"/>
        <v>-564353.03949561261</v>
      </c>
      <c r="M156" s="158">
        <f t="shared" si="32"/>
        <v>4296258.9576276019</v>
      </c>
      <c r="N156" s="8">
        <f t="shared" si="28"/>
        <v>721</v>
      </c>
    </row>
    <row r="157" spans="1:16">
      <c r="A157" s="131">
        <f t="shared" si="18"/>
        <v>722</v>
      </c>
      <c r="B157" s="27">
        <f>'1-BaseTRR'!$F$1</f>
        <v>2024</v>
      </c>
      <c r="C157" s="306" t="s">
        <v>121</v>
      </c>
      <c r="D157" s="183">
        <f>+'9-PlantAdditions'!D35</f>
        <v>98701983.515771031</v>
      </c>
      <c r="E157" s="39">
        <f>+(($D$144/12)*'12-DepRates'!$N$21)+((D157*'12-DepRates'!$N$21)/12*4)</f>
        <v>3951341.3154545464</v>
      </c>
      <c r="F157" s="39">
        <f t="shared" si="29"/>
        <v>4935099.1757885516</v>
      </c>
      <c r="G157" s="39">
        <f t="shared" si="30"/>
        <v>9978419.1643191595</v>
      </c>
      <c r="H157" s="39">
        <f t="shared" si="25"/>
        <v>-3067611.7698708428</v>
      </c>
      <c r="I157" s="33">
        <f>-'1-BaseTRR'!$D$106/12</f>
        <v>1767399.8999140516</v>
      </c>
      <c r="J157" s="33">
        <f t="shared" si="31"/>
        <v>-1300211.8699567912</v>
      </c>
      <c r="K157" s="31">
        <f t="shared" si="26"/>
        <v>0.25479452054794521</v>
      </c>
      <c r="L157" s="39">
        <f t="shared" si="27"/>
        <v>-331286.86001638789</v>
      </c>
      <c r="M157" s="158">
        <f t="shared" si="32"/>
        <v>3964972.097611214</v>
      </c>
      <c r="N157" s="8">
        <f t="shared" si="28"/>
        <v>722</v>
      </c>
    </row>
    <row r="158" spans="1:16">
      <c r="A158" s="131">
        <f t="shared" si="18"/>
        <v>723</v>
      </c>
      <c r="B158" s="27">
        <f>'1-BaseTRR'!$F$1</f>
        <v>2024</v>
      </c>
      <c r="C158" s="306" t="s">
        <v>122</v>
      </c>
      <c r="D158" s="183">
        <f>+'9-PlantAdditions'!D36</f>
        <v>75330090.252181843</v>
      </c>
      <c r="E158" s="39">
        <f>+(($D$144/12)*'12-DepRates'!$N$21)+((D158*'12-DepRates'!$N$21)/12*3)</f>
        <v>3548344.603851282</v>
      </c>
      <c r="F158" s="39">
        <f t="shared" si="29"/>
        <v>3766504.5126090925</v>
      </c>
      <c r="G158" s="39">
        <f t="shared" si="30"/>
        <v>9978419.1643191595</v>
      </c>
      <c r="H158" s="39">
        <f t="shared" si="25"/>
        <v>-2853369.901493567</v>
      </c>
      <c r="I158" s="33">
        <f>-'1-BaseTRR'!$D$106/12</f>
        <v>1767399.8999140516</v>
      </c>
      <c r="J158" s="33">
        <f t="shared" si="31"/>
        <v>-1085970.0015795154</v>
      </c>
      <c r="K158" s="31">
        <f t="shared" si="26"/>
        <v>0.16986301369863013</v>
      </c>
      <c r="L158" s="39">
        <f t="shared" si="27"/>
        <v>-184466.13725460263</v>
      </c>
      <c r="M158" s="158">
        <f t="shared" si="32"/>
        <v>3780505.9603566113</v>
      </c>
      <c r="N158" s="8">
        <f t="shared" si="28"/>
        <v>723</v>
      </c>
    </row>
    <row r="159" spans="1:16">
      <c r="A159" s="131">
        <f t="shared" si="18"/>
        <v>724</v>
      </c>
      <c r="B159" s="27">
        <f>'1-BaseTRR'!$F$1</f>
        <v>2024</v>
      </c>
      <c r="C159" s="306" t="s">
        <v>123</v>
      </c>
      <c r="D159" s="183">
        <f>+'9-PlantAdditions'!D37</f>
        <v>125850537.83818357</v>
      </c>
      <c r="E159" s="39">
        <f>+(($D$144/12)*'12-DepRates'!$N$21)+((D159*'12-DepRates'!$N$21)/12*2)</f>
        <v>3609720.7041503782</v>
      </c>
      <c r="F159" s="39">
        <f t="shared" si="29"/>
        <v>6292526.8919091783</v>
      </c>
      <c r="G159" s="39">
        <f t="shared" si="30"/>
        <v>9978419.1643191595</v>
      </c>
      <c r="H159" s="39">
        <f t="shared" si="25"/>
        <v>-3543066.6576240873</v>
      </c>
      <c r="I159" s="33">
        <f>-'1-BaseTRR'!$D$106/12</f>
        <v>1767399.8999140516</v>
      </c>
      <c r="J159" s="33">
        <f t="shared" si="31"/>
        <v>-1775666.7577100357</v>
      </c>
      <c r="K159" s="31">
        <f t="shared" si="26"/>
        <v>8.7671232876712329E-2</v>
      </c>
      <c r="L159" s="39">
        <f t="shared" si="27"/>
        <v>-155674.89382663326</v>
      </c>
      <c r="M159" s="158">
        <f t="shared" si="32"/>
        <v>3624831.0665299781</v>
      </c>
      <c r="N159" s="8">
        <f t="shared" si="28"/>
        <v>724</v>
      </c>
    </row>
    <row r="160" spans="1:16">
      <c r="A160" s="131">
        <f t="shared" si="18"/>
        <v>725</v>
      </c>
      <c r="B160" s="27">
        <f>'1-BaseTRR'!$F$1</f>
        <v>2024</v>
      </c>
      <c r="C160" s="306" t="s">
        <v>113</v>
      </c>
      <c r="D160" s="521">
        <f>+'9-PlantAdditions'!D38</f>
        <v>377359225.8425191</v>
      </c>
      <c r="E160" s="522">
        <f>+(($D$144/12)*'12-DepRates'!$N$21)+((D160*'12-DepRates'!$N$21)/12*1)</f>
        <v>3909688.2567823371</v>
      </c>
      <c r="F160" s="522">
        <f t="shared" si="29"/>
        <v>18867961.292125955</v>
      </c>
      <c r="G160" s="522">
        <f t="shared" si="30"/>
        <v>9978419.1643191595</v>
      </c>
      <c r="H160" s="522">
        <f t="shared" si="25"/>
        <v>-6978184.1983848317</v>
      </c>
      <c r="I160" s="523">
        <f>-'1-BaseTRR'!$D$106/12</f>
        <v>1767399.8999140516</v>
      </c>
      <c r="J160" s="523">
        <f t="shared" si="31"/>
        <v>-5210784.2984707803</v>
      </c>
      <c r="K160" s="31">
        <f t="shared" si="26"/>
        <v>2.7397260273972603E-3</v>
      </c>
      <c r="L160" s="39">
        <f t="shared" si="27"/>
        <v>-14276.121365673371</v>
      </c>
      <c r="M160" s="158">
        <f t="shared" si="32"/>
        <v>3610554.9451643047</v>
      </c>
      <c r="N160" s="8">
        <f t="shared" si="28"/>
        <v>725</v>
      </c>
    </row>
    <row r="161" spans="1:14">
      <c r="A161" s="131">
        <f t="shared" si="18"/>
        <v>726</v>
      </c>
      <c r="C161" s="306" t="s">
        <v>1477</v>
      </c>
      <c r="D161" s="227">
        <f t="shared" ref="D161:J161" si="33">SUM(D149:D160)</f>
        <v>1468189069.3918045</v>
      </c>
      <c r="E161" s="530">
        <f t="shared" si="33"/>
        <v>54557346.168243952</v>
      </c>
      <c r="F161" s="530">
        <f t="shared" si="33"/>
        <v>73409453.469590232</v>
      </c>
      <c r="G161" s="530">
        <f t="shared" si="33"/>
        <v>119741029.97182991</v>
      </c>
      <c r="H161" s="530">
        <f t="shared" si="33"/>
        <v>-38783349.161976524</v>
      </c>
      <c r="I161" s="353">
        <f t="shared" si="33"/>
        <v>21208798.798968624</v>
      </c>
      <c r="J161" s="353">
        <f t="shared" si="33"/>
        <v>-17574550.363007911</v>
      </c>
      <c r="K161" s="158"/>
      <c r="N161" s="8">
        <f t="shared" si="28"/>
        <v>726</v>
      </c>
    </row>
    <row r="162" spans="1:14">
      <c r="E162" s="39"/>
      <c r="N162" s="12"/>
    </row>
    <row r="163" spans="1:14">
      <c r="A163" s="131">
        <f>A161+1</f>
        <v>727</v>
      </c>
      <c r="C163" s="553" t="s">
        <v>1363</v>
      </c>
      <c r="D163" s="227">
        <f>+D144+D161</f>
        <v>2728620963.832119</v>
      </c>
      <c r="E163" s="227">
        <f>+E144+E161</f>
        <v>74208003.253890961</v>
      </c>
      <c r="F163" s="227">
        <f>+F144+F161</f>
        <v>136431048.19160596</v>
      </c>
      <c r="G163" s="227">
        <f>+G144+G161</f>
        <v>119741029.97182991</v>
      </c>
      <c r="H163" s="554">
        <f>+H144+H161</f>
        <v>-50920098.866387397</v>
      </c>
      <c r="M163" s="158">
        <f>+M160</f>
        <v>3610554.9451643047</v>
      </c>
      <c r="N163" s="8">
        <f>+A163</f>
        <v>727</v>
      </c>
    </row>
    <row r="164" spans="1:14" ht="29">
      <c r="A164" s="131">
        <f t="shared" ref="A164" si="34">A163+1</f>
        <v>728</v>
      </c>
      <c r="C164" s="306" t="s">
        <v>1364</v>
      </c>
      <c r="D164" s="20"/>
      <c r="G164" s="39"/>
      <c r="H164" s="39"/>
      <c r="M164" s="528">
        <f>((M163*'1-BaseTRR'!D68)*(1+'1-BaseTRR'!D99/(1-'1-BaseTRR'!D99)))+(M163*'1-BaseTRR'!D63)</f>
        <v>332802.83134777792</v>
      </c>
      <c r="N164" s="8">
        <f>+A164</f>
        <v>728</v>
      </c>
    </row>
    <row r="165" spans="1:14">
      <c r="A165" s="131"/>
      <c r="M165" s="15" t="s">
        <v>169</v>
      </c>
      <c r="N165" s="8"/>
    </row>
    <row r="166" spans="1:14">
      <c r="N166" s="8"/>
    </row>
    <row r="167" spans="1:14">
      <c r="A167" s="119" t="s">
        <v>124</v>
      </c>
      <c r="B167" s="13" t="s">
        <v>111</v>
      </c>
      <c r="C167" s="13" t="s">
        <v>1365</v>
      </c>
      <c r="N167" s="13" t="str">
        <f t="shared" ref="N167:N183" si="35">+A167</f>
        <v>Line</v>
      </c>
    </row>
    <row r="168" spans="1:14">
      <c r="A168" s="131">
        <f>A164+1</f>
        <v>729</v>
      </c>
      <c r="B168" s="30">
        <v>1</v>
      </c>
      <c r="C168" s="31">
        <v>0.05</v>
      </c>
      <c r="N168" s="8">
        <f t="shared" si="35"/>
        <v>729</v>
      </c>
    </row>
    <row r="169" spans="1:14">
      <c r="A169" s="131">
        <f t="shared" ref="A169:A183" si="36">+A168+1</f>
        <v>730</v>
      </c>
      <c r="B169" s="30">
        <f>+B168+1</f>
        <v>2</v>
      </c>
      <c r="C169" s="31">
        <v>9.5000000000000001E-2</v>
      </c>
      <c r="E169" s="377"/>
      <c r="F169" s="158"/>
      <c r="N169" s="8">
        <f t="shared" si="35"/>
        <v>730</v>
      </c>
    </row>
    <row r="170" spans="1:14">
      <c r="A170" s="131">
        <f t="shared" si="36"/>
        <v>731</v>
      </c>
      <c r="B170" s="30">
        <f t="shared" ref="B170:B182" si="37">+B169+1</f>
        <v>3</v>
      </c>
      <c r="C170" s="31">
        <v>8.5500000000000007E-2</v>
      </c>
      <c r="E170" s="377"/>
      <c r="F170" s="158"/>
      <c r="N170" s="8">
        <f t="shared" si="35"/>
        <v>731</v>
      </c>
    </row>
    <row r="171" spans="1:14">
      <c r="A171" s="131">
        <f t="shared" si="36"/>
        <v>732</v>
      </c>
      <c r="B171" s="30">
        <f t="shared" si="37"/>
        <v>4</v>
      </c>
      <c r="C171" s="31">
        <v>7.6999999999999999E-2</v>
      </c>
      <c r="E171" s="377"/>
      <c r="F171" s="158"/>
      <c r="N171" s="8">
        <f t="shared" si="35"/>
        <v>732</v>
      </c>
    </row>
    <row r="172" spans="1:14">
      <c r="A172" s="131">
        <f t="shared" si="36"/>
        <v>733</v>
      </c>
      <c r="B172" s="30">
        <f t="shared" si="37"/>
        <v>5</v>
      </c>
      <c r="C172" s="31">
        <v>6.93E-2</v>
      </c>
      <c r="E172" s="377"/>
      <c r="F172" s="158"/>
      <c r="N172" s="8">
        <f t="shared" si="35"/>
        <v>733</v>
      </c>
    </row>
    <row r="173" spans="1:14">
      <c r="A173" s="131">
        <f t="shared" si="36"/>
        <v>734</v>
      </c>
      <c r="B173" s="30">
        <f t="shared" si="37"/>
        <v>6</v>
      </c>
      <c r="C173" s="31">
        <v>6.2300000000000001E-2</v>
      </c>
      <c r="E173" s="377"/>
      <c r="F173" s="158"/>
      <c r="N173" s="8">
        <f t="shared" si="35"/>
        <v>734</v>
      </c>
    </row>
    <row r="174" spans="1:14">
      <c r="A174" s="131">
        <f t="shared" si="36"/>
        <v>735</v>
      </c>
      <c r="B174" s="30">
        <f t="shared" si="37"/>
        <v>7</v>
      </c>
      <c r="C174" s="31">
        <v>5.8999999999999997E-2</v>
      </c>
      <c r="E174" s="377"/>
      <c r="F174" s="158"/>
      <c r="N174" s="8">
        <f t="shared" si="35"/>
        <v>735</v>
      </c>
    </row>
    <row r="175" spans="1:14">
      <c r="A175" s="131">
        <f t="shared" si="36"/>
        <v>736</v>
      </c>
      <c r="B175" s="30">
        <f t="shared" si="37"/>
        <v>8</v>
      </c>
      <c r="C175" s="31">
        <v>5.8999999999999997E-2</v>
      </c>
      <c r="E175" s="377"/>
      <c r="F175" s="158"/>
      <c r="N175" s="8">
        <f t="shared" si="35"/>
        <v>736</v>
      </c>
    </row>
    <row r="176" spans="1:14">
      <c r="A176" s="131">
        <f t="shared" si="36"/>
        <v>737</v>
      </c>
      <c r="B176" s="30">
        <f t="shared" si="37"/>
        <v>9</v>
      </c>
      <c r="C176" s="31">
        <v>5.91E-2</v>
      </c>
      <c r="E176" s="377"/>
      <c r="F176" s="158"/>
      <c r="N176" s="8">
        <f t="shared" si="35"/>
        <v>737</v>
      </c>
    </row>
    <row r="177" spans="1:14">
      <c r="A177" s="131">
        <f t="shared" si="36"/>
        <v>738</v>
      </c>
      <c r="B177" s="30">
        <f t="shared" si="37"/>
        <v>10</v>
      </c>
      <c r="C177" s="31">
        <v>5.8999999999999997E-2</v>
      </c>
      <c r="E177" s="377"/>
      <c r="F177" s="158"/>
      <c r="N177" s="8">
        <f t="shared" si="35"/>
        <v>738</v>
      </c>
    </row>
    <row r="178" spans="1:14">
      <c r="A178" s="131">
        <f t="shared" si="36"/>
        <v>739</v>
      </c>
      <c r="B178" s="30">
        <f t="shared" si="37"/>
        <v>11</v>
      </c>
      <c r="C178" s="31">
        <v>5.91E-2</v>
      </c>
      <c r="E178" s="377"/>
      <c r="F178" s="158"/>
      <c r="N178" s="8">
        <f t="shared" si="35"/>
        <v>739</v>
      </c>
    </row>
    <row r="179" spans="1:14">
      <c r="A179" s="131">
        <f t="shared" si="36"/>
        <v>740</v>
      </c>
      <c r="B179" s="30">
        <f t="shared" si="37"/>
        <v>12</v>
      </c>
      <c r="C179" s="31">
        <v>5.8999999999999997E-2</v>
      </c>
      <c r="E179" s="377"/>
      <c r="F179" s="158"/>
      <c r="N179" s="8">
        <f t="shared" si="35"/>
        <v>740</v>
      </c>
    </row>
    <row r="180" spans="1:14">
      <c r="A180" s="131">
        <f t="shared" si="36"/>
        <v>741</v>
      </c>
      <c r="B180" s="30">
        <f t="shared" si="37"/>
        <v>13</v>
      </c>
      <c r="C180" s="31">
        <v>5.91E-2</v>
      </c>
      <c r="E180" s="377"/>
      <c r="F180" s="158"/>
      <c r="N180" s="8">
        <f t="shared" si="35"/>
        <v>741</v>
      </c>
    </row>
    <row r="181" spans="1:14">
      <c r="A181" s="131">
        <f t="shared" si="36"/>
        <v>742</v>
      </c>
      <c r="B181" s="30">
        <f t="shared" si="37"/>
        <v>14</v>
      </c>
      <c r="C181" s="31">
        <v>5.8999999999999997E-2</v>
      </c>
      <c r="E181" s="377"/>
      <c r="N181" s="8">
        <f t="shared" si="35"/>
        <v>742</v>
      </c>
    </row>
    <row r="182" spans="1:14">
      <c r="A182" s="131">
        <f t="shared" si="36"/>
        <v>743</v>
      </c>
      <c r="B182" s="30">
        <f t="shared" si="37"/>
        <v>15</v>
      </c>
      <c r="C182" s="31">
        <v>5.91E-2</v>
      </c>
      <c r="E182" s="158"/>
      <c r="N182" s="8">
        <f t="shared" si="35"/>
        <v>743</v>
      </c>
    </row>
    <row r="183" spans="1:14">
      <c r="A183" s="131">
        <f t="shared" si="36"/>
        <v>744</v>
      </c>
      <c r="B183" s="30">
        <f>+B182+1</f>
        <v>16</v>
      </c>
      <c r="C183" s="31">
        <v>2.9499999999999998E-2</v>
      </c>
      <c r="N183" s="8">
        <f t="shared" si="35"/>
        <v>744</v>
      </c>
    </row>
    <row r="184" spans="1:14">
      <c r="A184" s="30"/>
      <c r="K184" s="8"/>
    </row>
    <row r="185" spans="1:14">
      <c r="A185" s="30"/>
      <c r="B185" s="206" t="s">
        <v>127</v>
      </c>
      <c r="K185" s="8"/>
    </row>
    <row r="186" spans="1:14">
      <c r="A186" s="30"/>
      <c r="B186" s="816" t="s">
        <v>674</v>
      </c>
      <c r="C186" s="816"/>
      <c r="D186" s="816"/>
      <c r="E186" s="816"/>
      <c r="F186" s="816"/>
      <c r="G186" s="816"/>
      <c r="H186" s="816"/>
      <c r="I186" s="816"/>
      <c r="J186" s="816"/>
      <c r="K186" s="8"/>
    </row>
    <row r="187" spans="1:14">
      <c r="A187" s="30"/>
      <c r="B187" s="816" t="s">
        <v>1446</v>
      </c>
      <c r="C187" s="816"/>
      <c r="D187" s="816"/>
      <c r="E187" s="816"/>
      <c r="F187" s="816"/>
      <c r="G187" s="816"/>
      <c r="H187" s="816"/>
      <c r="I187" s="816"/>
      <c r="J187" s="816"/>
      <c r="K187" s="8"/>
    </row>
    <row r="188" spans="1:14">
      <c r="B188" t="s">
        <v>1611</v>
      </c>
    </row>
  </sheetData>
  <protectedRanges>
    <protectedRange password="F1C4" sqref="D13:D14 D16 D21:D25 F18 D18:E20 D26:F28 B7:C31 E14:E17 D52:D53 D73:D74 D90:D91 J54:J57 J93:J94 J32:J41 J79 J59 D31:F31 D29:D30 F29:F30" name="AAReport1_23_1_1_2"/>
    <protectedRange password="F1C4" sqref="J58" name="AAReport1_23_1_1_2_3"/>
    <protectedRange password="F1C4" sqref="D17" name="AAReport1_23_1_1_2_2_1"/>
    <protectedRange password="F1C4" sqref="F33:F34" name="AAReport1_23_1_1_2_1_1"/>
    <protectedRange password="F1C4" sqref="E29:E30" name="AAReport1_23_1_1_2_1"/>
    <protectedRange password="F1C4" sqref="E52:E53" name="AAReport1_23_1_1_2_2"/>
    <protectedRange password="F1C4" sqref="E73:E74" name="AAReport1_23_1_1_2_4"/>
    <protectedRange password="F1C4" sqref="E90:E91" name="AAReport1_23_1_1_2_5"/>
    <protectedRange password="F1C4" sqref="J76:J78" name="AAReport1_23_1_1_2_6"/>
  </protectedRanges>
  <mergeCells count="2">
    <mergeCell ref="B186:J186"/>
    <mergeCell ref="B187:J187"/>
  </mergeCells>
  <conditionalFormatting sqref="B80 D80 D96">
    <cfRule type="expression" dxfId="5" priority="12" stopIfTrue="1">
      <formula>Formulas</formula>
    </cfRule>
  </conditionalFormatting>
  <conditionalFormatting sqref="B96">
    <cfRule type="expression" dxfId="4" priority="9" stopIfTrue="1">
      <formula>Formulas</formula>
    </cfRule>
  </conditionalFormatting>
  <conditionalFormatting sqref="C76:C79">
    <cfRule type="expression" dxfId="3" priority="4" stopIfTrue="1">
      <formula>#REF!&lt;&gt;""</formula>
    </cfRule>
  </conditionalFormatting>
  <conditionalFormatting sqref="C80">
    <cfRule type="expression" dxfId="2" priority="11" stopIfTrue="1">
      <formula>#REF!&lt;&gt;""</formula>
    </cfRule>
  </conditionalFormatting>
  <conditionalFormatting sqref="C93">
    <cfRule type="expression" dxfId="1" priority="3" stopIfTrue="1">
      <formula>#REF!&lt;&gt;""</formula>
    </cfRule>
  </conditionalFormatting>
  <conditionalFormatting sqref="C94:C96">
    <cfRule type="expression" dxfId="0" priority="1" stopIfTrue="1">
      <formula>#REF!&lt;&gt;""</formula>
    </cfRule>
  </conditionalFormatting>
  <printOptions horizontalCentered="1"/>
  <pageMargins left="1" right="1" top="1" bottom="1" header="0.5" footer="0.5"/>
  <pageSetup scale="33" fitToHeight="0" orientation="landscape" r:id="rId1"/>
  <headerFooter>
    <oddHeader xml:space="preserve">&amp;C&amp;"-,Bold"Pacific Gas and Electric Company
Formula Rate Model
Schedule &amp;A&amp;R&amp;10Docket No. ER19-13-000, et al- Annual Update RY2024
&amp;F
</oddHeader>
  </headerFooter>
  <rowBreaks count="2" manualBreakCount="2">
    <brk id="69" max="13" man="1"/>
    <brk id="124" max="1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2"/>
  <sheetViews>
    <sheetView tabSelected="1" view="pageBreakPreview" zoomScale="55" zoomScaleSheetLayoutView="55" zoomScalePageLayoutView="85" workbookViewId="0">
      <selection activeCell="P108" sqref="P108"/>
    </sheetView>
  </sheetViews>
  <sheetFormatPr defaultColWidth="9.1796875" defaultRowHeight="14.5"/>
  <cols>
    <col min="1" max="1" width="4.54296875" bestFit="1" customWidth="1"/>
    <col min="2" max="2" width="59.54296875" bestFit="1" customWidth="1"/>
    <col min="3" max="3" width="20.81640625" customWidth="1"/>
    <col min="4" max="4" width="56.7265625" style="6" bestFit="1" customWidth="1"/>
    <col min="5" max="5" width="22.54296875" bestFit="1" customWidth="1"/>
    <col min="6" max="6" width="19.453125" bestFit="1" customWidth="1"/>
    <col min="7" max="7" width="4.54296875" bestFit="1" customWidth="1"/>
  </cols>
  <sheetData>
    <row r="1" spans="1:7">
      <c r="B1" s="12" t="s">
        <v>675</v>
      </c>
      <c r="E1" s="15"/>
      <c r="F1" s="15" t="str">
        <f>CONCATENATE("Prior Year: ",'1-BaseTRR'!$F$2)</f>
        <v>Prior Year: 2022</v>
      </c>
    </row>
    <row r="2" spans="1:7">
      <c r="B2" s="117" t="s">
        <v>196</v>
      </c>
      <c r="E2" s="15"/>
      <c r="F2" s="15"/>
    </row>
    <row r="3" spans="1:7">
      <c r="B3" s="142"/>
      <c r="G3" s="314"/>
    </row>
    <row r="4" spans="1:7">
      <c r="B4" s="57" t="s">
        <v>676</v>
      </c>
      <c r="C4" s="54"/>
      <c r="D4" s="53"/>
      <c r="E4" s="54"/>
      <c r="F4" s="54"/>
      <c r="G4" s="314"/>
    </row>
    <row r="5" spans="1:7">
      <c r="A5" s="13" t="s">
        <v>124</v>
      </c>
      <c r="B5" s="13" t="s">
        <v>129</v>
      </c>
      <c r="C5" s="13" t="s">
        <v>143</v>
      </c>
      <c r="D5" s="13" t="s">
        <v>54</v>
      </c>
      <c r="E5" s="13" t="s">
        <v>11</v>
      </c>
      <c r="F5" s="13" t="str">
        <f>A5</f>
        <v>Line</v>
      </c>
    </row>
    <row r="6" spans="1:7">
      <c r="A6" s="131">
        <v>100</v>
      </c>
      <c r="B6" t="s">
        <v>677</v>
      </c>
      <c r="C6" s="352">
        <v>126586601.496494</v>
      </c>
      <c r="D6" s="4" t="s">
        <v>1391</v>
      </c>
      <c r="E6" s="38"/>
      <c r="F6" s="131">
        <f>A6</f>
        <v>100</v>
      </c>
    </row>
    <row r="7" spans="1:7">
      <c r="A7" s="131">
        <f>A6+1</f>
        <v>101</v>
      </c>
      <c r="B7" t="s">
        <v>678</v>
      </c>
      <c r="C7" s="33">
        <f>C8-C6</f>
        <v>129287222.503506</v>
      </c>
      <c r="D7" s="4" t="str">
        <f>CONCATENATE("Line ",A8," - ","Line ",A6)</f>
        <v>Line 102 - Line 100</v>
      </c>
      <c r="F7" s="131">
        <f>A7</f>
        <v>101</v>
      </c>
    </row>
    <row r="8" spans="1:7">
      <c r="A8" s="131">
        <f>A7+1</f>
        <v>102</v>
      </c>
      <c r="B8" t="s">
        <v>679</v>
      </c>
      <c r="C8" s="352">
        <v>255873824</v>
      </c>
      <c r="D8" s="4" t="s">
        <v>2010</v>
      </c>
      <c r="F8" s="131">
        <f>A8</f>
        <v>102</v>
      </c>
    </row>
    <row r="9" spans="1:7">
      <c r="C9" s="20"/>
      <c r="D9" s="803"/>
      <c r="E9" s="38"/>
    </row>
    <row r="10" spans="1:7">
      <c r="B10" s="57" t="s">
        <v>1281</v>
      </c>
      <c r="C10" s="59"/>
      <c r="D10" s="804"/>
      <c r="E10" s="315"/>
    </row>
    <row r="11" spans="1:7">
      <c r="A11" s="13" t="s">
        <v>124</v>
      </c>
      <c r="B11" s="13" t="s">
        <v>129</v>
      </c>
      <c r="C11" s="316" t="s">
        <v>143</v>
      </c>
      <c r="D11" s="119" t="s">
        <v>54</v>
      </c>
      <c r="E11" s="13" t="s">
        <v>11</v>
      </c>
      <c r="F11" s="13" t="str">
        <f>A11</f>
        <v>Line</v>
      </c>
    </row>
    <row r="12" spans="1:7">
      <c r="A12" s="131">
        <f>A8+1</f>
        <v>103</v>
      </c>
      <c r="B12" t="s">
        <v>680</v>
      </c>
      <c r="C12" s="352">
        <v>159139744.63</v>
      </c>
      <c r="D12" s="4" t="s">
        <v>1392</v>
      </c>
      <c r="E12" s="38"/>
      <c r="F12" s="131">
        <f>A12</f>
        <v>103</v>
      </c>
    </row>
    <row r="13" spans="1:7">
      <c r="A13" s="131">
        <f>A12+1</f>
        <v>104</v>
      </c>
      <c r="B13" t="s">
        <v>681</v>
      </c>
      <c r="C13" s="33">
        <f>C14-C12</f>
        <v>129535990.37</v>
      </c>
      <c r="D13" s="4" t="str">
        <f>CONCATENATE("Line ",A14," - ","Line ",A12)</f>
        <v>Line 105 - Line 103</v>
      </c>
      <c r="F13" s="131">
        <f>A13</f>
        <v>104</v>
      </c>
    </row>
    <row r="14" spans="1:7">
      <c r="A14" s="131">
        <f>A13+1</f>
        <v>105</v>
      </c>
      <c r="B14" t="s">
        <v>679</v>
      </c>
      <c r="C14" s="352">
        <v>288675735</v>
      </c>
      <c r="D14" s="4" t="s">
        <v>2011</v>
      </c>
      <c r="F14" s="131">
        <f>A14</f>
        <v>105</v>
      </c>
    </row>
    <row r="15" spans="1:7">
      <c r="A15" s="131"/>
      <c r="C15" s="33"/>
      <c r="D15" s="803"/>
      <c r="E15" s="38"/>
      <c r="F15" s="131"/>
    </row>
    <row r="16" spans="1:7">
      <c r="A16" s="131">
        <f>A14+1</f>
        <v>106</v>
      </c>
      <c r="B16" t="s">
        <v>682</v>
      </c>
      <c r="C16" s="352">
        <v>1745354.32</v>
      </c>
      <c r="D16" s="4" t="s">
        <v>1393</v>
      </c>
      <c r="F16" s="131">
        <f>A16</f>
        <v>106</v>
      </c>
    </row>
    <row r="17" spans="1:7">
      <c r="A17" s="131">
        <f>A16+1</f>
        <v>107</v>
      </c>
      <c r="B17" t="s">
        <v>683</v>
      </c>
      <c r="C17" s="33">
        <f>C18-C16</f>
        <v>119353901.68000001</v>
      </c>
      <c r="D17" s="4" t="str">
        <f>CONCATENATE("Line ",A18," - ","Line ",A16)</f>
        <v>Line 108 - Line 106</v>
      </c>
      <c r="F17" s="131">
        <f>A17</f>
        <v>107</v>
      </c>
    </row>
    <row r="18" spans="1:7">
      <c r="A18" s="131">
        <f>A17+1</f>
        <v>108</v>
      </c>
      <c r="B18" t="s">
        <v>684</v>
      </c>
      <c r="C18" s="352">
        <v>121099256</v>
      </c>
      <c r="D18" s="4" t="s">
        <v>2012</v>
      </c>
      <c r="F18" s="131">
        <f>A18</f>
        <v>108</v>
      </c>
    </row>
    <row r="19" spans="1:7">
      <c r="A19" s="131"/>
      <c r="C19" s="33"/>
      <c r="F19" s="131"/>
    </row>
    <row r="20" spans="1:7">
      <c r="A20" s="131">
        <f>A18+1</f>
        <v>109</v>
      </c>
      <c r="B20" s="15" t="s">
        <v>685</v>
      </c>
      <c r="C20" s="353">
        <f>AVERAGE(C6,C12)</f>
        <v>142863173.063247</v>
      </c>
      <c r="D20" s="6" t="str">
        <f>"Average of Lines "&amp;A6&amp;" and "&amp;A12&amp;""</f>
        <v>Average of Lines 100 and 103</v>
      </c>
      <c r="F20" s="131">
        <f>A20</f>
        <v>109</v>
      </c>
    </row>
    <row r="21" spans="1:7">
      <c r="A21" s="131"/>
      <c r="C21" s="15"/>
      <c r="D21" s="455"/>
      <c r="E21" s="6"/>
      <c r="G21" s="131"/>
    </row>
    <row r="22" spans="1:7">
      <c r="B22" s="16"/>
    </row>
    <row r="32" spans="1:7">
      <c r="D32" s="4"/>
      <c r="E32" s="17"/>
    </row>
  </sheetData>
  <protectedRanges>
    <protectedRange password="F1C4" sqref="D7 D13 D17" name="AAReport1_23_1_1_2_3"/>
  </protectedRanges>
  <printOptions horizontalCentered="1"/>
  <pageMargins left="1" right="1" top="1" bottom="1" header="0.5" footer="0.5"/>
  <pageSetup scale="61"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74"/>
  <sheetViews>
    <sheetView tabSelected="1" view="pageBreakPreview" topLeftCell="A28" zoomScale="55" zoomScaleNormal="85" zoomScaleSheetLayoutView="55" workbookViewId="0">
      <selection activeCell="P108" sqref="P108"/>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s>
  <sheetData>
    <row r="1" spans="1:7">
      <c r="B1" s="12" t="s">
        <v>1452</v>
      </c>
      <c r="F1" s="15" t="str">
        <f>CONCATENATE("Prior Year: ",'1-BaseTRR'!$F$2)</f>
        <v>Prior Year: 2022</v>
      </c>
    </row>
    <row r="2" spans="1:7">
      <c r="B2" s="117" t="s">
        <v>196</v>
      </c>
      <c r="F2" s="15"/>
    </row>
    <row r="3" spans="1:7">
      <c r="B3" s="142"/>
      <c r="D3" s="8" t="s">
        <v>100</v>
      </c>
      <c r="E3" s="8" t="s">
        <v>101</v>
      </c>
      <c r="F3" s="13" t="s">
        <v>54</v>
      </c>
    </row>
    <row r="4" spans="1:7">
      <c r="A4" s="13" t="s">
        <v>124</v>
      </c>
      <c r="B4" s="57" t="s">
        <v>1454</v>
      </c>
      <c r="C4" s="54"/>
      <c r="D4" s="54"/>
      <c r="E4" s="54"/>
      <c r="F4" s="54"/>
      <c r="G4" s="13" t="str">
        <f>A4</f>
        <v>Line</v>
      </c>
    </row>
    <row r="5" spans="1:7">
      <c r="A5" s="8">
        <v>100</v>
      </c>
      <c r="B5" s="6" t="s">
        <v>1458</v>
      </c>
      <c r="E5" s="68">
        <f>E18+E27+E34+E43+E52</f>
        <v>-125198867</v>
      </c>
      <c r="F5" s="6" t="s">
        <v>1670</v>
      </c>
      <c r="G5" s="8">
        <f>A5</f>
        <v>100</v>
      </c>
    </row>
    <row r="6" spans="1:7">
      <c r="A6" s="8">
        <f>A5+1</f>
        <v>101</v>
      </c>
      <c r="B6" s="6" t="s">
        <v>1466</v>
      </c>
      <c r="E6" s="68">
        <f>E15+E25+E41+E32+E50</f>
        <v>-131293247.62614582</v>
      </c>
      <c r="F6" s="6" t="s">
        <v>1671</v>
      </c>
      <c r="G6" s="8">
        <f>A6</f>
        <v>101</v>
      </c>
    </row>
    <row r="7" spans="1:7">
      <c r="B7" s="142"/>
    </row>
    <row r="8" spans="1:7">
      <c r="B8" s="57" t="s">
        <v>1453</v>
      </c>
      <c r="C8" s="54"/>
      <c r="D8" s="54"/>
      <c r="E8" s="54"/>
      <c r="F8" s="54"/>
    </row>
    <row r="9" spans="1:7">
      <c r="D9" s="13" t="s">
        <v>100</v>
      </c>
      <c r="E9" s="13" t="s">
        <v>101</v>
      </c>
      <c r="F9" s="30"/>
    </row>
    <row r="10" spans="1:7" ht="24" customHeight="1">
      <c r="A10" s="13" t="s">
        <v>124</v>
      </c>
      <c r="B10" s="13" t="s">
        <v>129</v>
      </c>
      <c r="C10" s="13"/>
      <c r="D10" s="168" t="s">
        <v>692</v>
      </c>
      <c r="E10" s="13" t="s">
        <v>691</v>
      </c>
      <c r="F10" s="13" t="s">
        <v>54</v>
      </c>
      <c r="G10" s="13" t="str">
        <f t="shared" ref="G10:G15" si="0">A10</f>
        <v>Line</v>
      </c>
    </row>
    <row r="11" spans="1:7" ht="18" customHeight="1">
      <c r="A11" s="8">
        <v>200</v>
      </c>
      <c r="B11" t="s">
        <v>1280</v>
      </c>
      <c r="D11" s="51">
        <v>-361396927.81</v>
      </c>
      <c r="E11" s="51">
        <v>-337515362.72000003</v>
      </c>
      <c r="F11" s="4" t="s">
        <v>125</v>
      </c>
      <c r="G11" s="8">
        <f t="shared" si="0"/>
        <v>200</v>
      </c>
    </row>
    <row r="12" spans="1:7" ht="18" customHeight="1">
      <c r="A12" s="8">
        <f>A11+1</f>
        <v>201</v>
      </c>
      <c r="B12" t="s">
        <v>690</v>
      </c>
      <c r="D12" s="26">
        <v>45700000</v>
      </c>
      <c r="E12" s="26">
        <v>45700000</v>
      </c>
      <c r="F12" s="4" t="s">
        <v>126</v>
      </c>
      <c r="G12" s="8">
        <f t="shared" si="0"/>
        <v>201</v>
      </c>
    </row>
    <row r="13" spans="1:7" ht="18" customHeight="1">
      <c r="A13" s="8">
        <f>A12+1</f>
        <v>202</v>
      </c>
      <c r="B13" t="s">
        <v>689</v>
      </c>
      <c r="D13" s="32">
        <f>+D12+D11</f>
        <v>-315696927.81</v>
      </c>
      <c r="E13" s="32">
        <f>+E12+E11</f>
        <v>-291815362.72000003</v>
      </c>
      <c r="F13" s="6" t="str">
        <f>"Line "&amp;A11&amp;" + Line "&amp;A12&amp;""</f>
        <v>Line 200 + Line 201</v>
      </c>
      <c r="G13" s="8">
        <f t="shared" si="0"/>
        <v>202</v>
      </c>
    </row>
    <row r="14" spans="1:7" ht="18" customHeight="1">
      <c r="A14" s="8">
        <f>A13+1</f>
        <v>203</v>
      </c>
      <c r="B14" t="s">
        <v>688</v>
      </c>
      <c r="D14" s="34">
        <f>'24-Allocators'!$C$24</f>
        <v>9.5754660785216397E-2</v>
      </c>
      <c r="E14" s="34">
        <f>'24-Allocators'!$C$24</f>
        <v>9.5754660785216397E-2</v>
      </c>
      <c r="F14" s="6" t="str">
        <f>CONCATENATE("24-Allocators, Line ",'24-Allocators'!A24)</f>
        <v>24-Allocators, Line 113</v>
      </c>
      <c r="G14" s="8">
        <f t="shared" si="0"/>
        <v>203</v>
      </c>
    </row>
    <row r="15" spans="1:7" ht="18" customHeight="1">
      <c r="A15" s="8">
        <f>A14+1</f>
        <v>204</v>
      </c>
      <c r="B15" s="12" t="s">
        <v>687</v>
      </c>
      <c r="C15" s="12"/>
      <c r="D15" s="68">
        <f>ROUND(D13*D14,0)</f>
        <v>-30229452</v>
      </c>
      <c r="E15" s="68">
        <f>ROUND(E13*E14,0)</f>
        <v>-27942681</v>
      </c>
      <c r="F15" s="6" t="str">
        <f>"Line "&amp;A13&amp;" * Line "&amp;A14&amp;""</f>
        <v>Line 202 * Line 203</v>
      </c>
      <c r="G15" s="8">
        <f t="shared" si="0"/>
        <v>204</v>
      </c>
    </row>
    <row r="16" spans="1:7" ht="18" customHeight="1">
      <c r="A16" s="8"/>
      <c r="D16" s="22"/>
      <c r="E16" s="22"/>
      <c r="F16" s="6"/>
      <c r="G16" s="8"/>
    </row>
    <row r="17" spans="1:7" ht="18" customHeight="1">
      <c r="A17" s="8"/>
      <c r="F17" s="6"/>
      <c r="G17" s="8"/>
    </row>
    <row r="18" spans="1:7" ht="18" customHeight="1">
      <c r="A18" s="8">
        <f>A15+1</f>
        <v>205</v>
      </c>
      <c r="D18" s="15" t="s">
        <v>686</v>
      </c>
      <c r="E18" s="68">
        <f>ROUND(AVERAGE(D15:E15),0)</f>
        <v>-29086067</v>
      </c>
      <c r="F18" s="6" t="str">
        <f>CONCATENATE("Average of Line ",A15,", ",D9," and ",E9)</f>
        <v>Average of Line 204, Col 1 and Col 2</v>
      </c>
      <c r="G18" s="8">
        <f>A18</f>
        <v>205</v>
      </c>
    </row>
    <row r="19" spans="1:7" ht="18" customHeight="1">
      <c r="A19" s="8"/>
      <c r="D19" s="15"/>
      <c r="E19" s="353"/>
      <c r="F19" s="30"/>
      <c r="G19" s="8"/>
    </row>
    <row r="20" spans="1:7" ht="18" customHeight="1">
      <c r="B20" s="57" t="s">
        <v>1468</v>
      </c>
      <c r="C20" s="54"/>
      <c r="D20" s="54"/>
      <c r="E20" s="54"/>
      <c r="F20" s="218"/>
    </row>
    <row r="21" spans="1:7" ht="18" customHeight="1">
      <c r="B21" s="12"/>
      <c r="D21" s="8" t="s">
        <v>100</v>
      </c>
      <c r="E21" s="8" t="s">
        <v>101</v>
      </c>
      <c r="F21" s="30"/>
    </row>
    <row r="22" spans="1:7" ht="18" customHeight="1">
      <c r="D22" s="13" t="s">
        <v>1455</v>
      </c>
      <c r="E22" s="13" t="s">
        <v>1456</v>
      </c>
      <c r="F22" s="13" t="s">
        <v>54</v>
      </c>
    </row>
    <row r="23" spans="1:7" ht="18" customHeight="1">
      <c r="A23" s="8">
        <v>300</v>
      </c>
      <c r="B23" t="s">
        <v>1469</v>
      </c>
      <c r="D23" s="456">
        <v>-41748952</v>
      </c>
      <c r="E23" s="661">
        <v>0</v>
      </c>
      <c r="F23" s="573" t="str">
        <f>CONCATENATE("Negative 5-CostofCap-4, Line ",'5-CostofCap-4'!A8," (see Note 3)")</f>
        <v>Negative 5-CostofCap-4, Line 102 (see Note 3)</v>
      </c>
      <c r="G23" s="8">
        <f t="shared" ref="G23:G25" si="1">A23</f>
        <v>300</v>
      </c>
    </row>
    <row r="24" spans="1:7" ht="18" customHeight="1">
      <c r="A24" s="8">
        <f>+A23+1</f>
        <v>301</v>
      </c>
      <c r="B24" t="s">
        <v>1457</v>
      </c>
      <c r="D24" s="41">
        <f>+E24</f>
        <v>0.16085587413428787</v>
      </c>
      <c r="E24" s="41">
        <f>+'24-Allocators'!C29</f>
        <v>0.16085587413428787</v>
      </c>
      <c r="F24" s="6" t="str">
        <f>CONCATENATE("24-Allocators, Line ",'24-Allocators'!A29)</f>
        <v>24-Allocators, Line 116</v>
      </c>
      <c r="G24" s="8">
        <f t="shared" si="1"/>
        <v>301</v>
      </c>
    </row>
    <row r="25" spans="1:7" ht="18" customHeight="1">
      <c r="A25" s="8">
        <f>+A24+1</f>
        <v>302</v>
      </c>
      <c r="B25" t="s">
        <v>1467</v>
      </c>
      <c r="D25" s="574">
        <f>+D24*D23</f>
        <v>-6715564.1681504259</v>
      </c>
      <c r="E25" s="574">
        <f>+E24*E23</f>
        <v>0</v>
      </c>
      <c r="F25" s="6" t="str">
        <f>"Line "&amp;A23&amp;" * Line "&amp;A24&amp;" (see Note 3)"</f>
        <v>Line 300 * Line 301 (see Note 3)</v>
      </c>
      <c r="G25" s="8">
        <f t="shared" si="1"/>
        <v>302</v>
      </c>
    </row>
    <row r="26" spans="1:7" ht="18" customHeight="1">
      <c r="A26" s="8"/>
      <c r="E26" s="12"/>
      <c r="F26" s="6"/>
    </row>
    <row r="27" spans="1:7" ht="18" customHeight="1">
      <c r="A27" s="8">
        <f>+A25+1</f>
        <v>303</v>
      </c>
      <c r="D27" s="15" t="s">
        <v>686</v>
      </c>
      <c r="E27" s="68">
        <f>ROUND(AVERAGE(D25:E25),0)</f>
        <v>-3357782</v>
      </c>
      <c r="F27" s="6" t="str">
        <f>CONCATENATE("Average of Line ",A25,", ",D21," and ",E21)</f>
        <v>Average of Line 302, Col 1 and Col 2</v>
      </c>
      <c r="G27" s="8">
        <f t="shared" ref="G27" si="2">A27</f>
        <v>303</v>
      </c>
    </row>
    <row r="28" spans="1:7" ht="18" customHeight="1">
      <c r="F28" s="30"/>
    </row>
    <row r="29" spans="1:7" ht="18" customHeight="1">
      <c r="B29" s="57" t="s">
        <v>1636</v>
      </c>
      <c r="C29" s="54"/>
      <c r="D29" s="54"/>
      <c r="E29" s="54"/>
      <c r="F29" s="218"/>
    </row>
    <row r="30" spans="1:7" ht="18" customHeight="1">
      <c r="A30" s="8"/>
      <c r="D30" s="8" t="s">
        <v>100</v>
      </c>
      <c r="E30" s="8" t="s">
        <v>101</v>
      </c>
      <c r="F30" s="6"/>
      <c r="G30" s="8"/>
    </row>
    <row r="31" spans="1:7" ht="18" customHeight="1">
      <c r="A31" s="8"/>
      <c r="D31" s="13" t="s">
        <v>1455</v>
      </c>
      <c r="E31" s="13" t="s">
        <v>1456</v>
      </c>
      <c r="F31" s="13" t="s">
        <v>54</v>
      </c>
      <c r="G31" s="8"/>
    </row>
    <row r="32" spans="1:7" ht="18" customHeight="1">
      <c r="A32" s="8">
        <v>400</v>
      </c>
      <c r="B32" t="s">
        <v>1637</v>
      </c>
      <c r="D32" s="669">
        <v>0</v>
      </c>
      <c r="E32" s="51"/>
      <c r="F32" s="6" t="s">
        <v>1672</v>
      </c>
      <c r="G32" s="8">
        <f t="shared" ref="G32" si="3">A32</f>
        <v>400</v>
      </c>
    </row>
    <row r="33" spans="1:7" ht="18" customHeight="1">
      <c r="A33" s="8"/>
      <c r="D33" s="15"/>
      <c r="E33" s="24"/>
      <c r="F33" s="6"/>
      <c r="G33" s="8"/>
    </row>
    <row r="34" spans="1:7" ht="18" customHeight="1">
      <c r="A34" s="8">
        <f>+A32+1</f>
        <v>401</v>
      </c>
      <c r="D34" s="15" t="s">
        <v>686</v>
      </c>
      <c r="E34" s="24">
        <f>ROUND(AVERAGE(D32:E32),0)</f>
        <v>0</v>
      </c>
      <c r="F34" s="6" t="str">
        <f>CONCATENATE("Average of Line ",A32,"")</f>
        <v>Average of Line 400</v>
      </c>
      <c r="G34" s="8">
        <f>A34</f>
        <v>401</v>
      </c>
    </row>
    <row r="35" spans="1:7" ht="18" customHeight="1">
      <c r="A35" s="8"/>
      <c r="D35" s="15"/>
      <c r="E35" s="24"/>
      <c r="F35" s="6"/>
      <c r="G35" s="8"/>
    </row>
    <row r="36" spans="1:7" ht="18" customHeight="1">
      <c r="B36" s="57" t="s">
        <v>1640</v>
      </c>
      <c r="C36" s="54"/>
      <c r="D36" s="54"/>
      <c r="E36" s="54"/>
      <c r="F36" s="218"/>
    </row>
    <row r="37" spans="1:7" ht="18" customHeight="1">
      <c r="B37" s="12"/>
      <c r="D37" s="8" t="s">
        <v>100</v>
      </c>
      <c r="E37" s="8" t="s">
        <v>101</v>
      </c>
      <c r="F37" s="30"/>
    </row>
    <row r="38" spans="1:7" ht="18" customHeight="1">
      <c r="A38" s="8"/>
      <c r="D38" s="13" t="s">
        <v>1455</v>
      </c>
      <c r="E38" s="13" t="s">
        <v>1456</v>
      </c>
      <c r="F38" s="13" t="s">
        <v>54</v>
      </c>
      <c r="G38" s="8"/>
    </row>
    <row r="39" spans="1:7" ht="18" customHeight="1">
      <c r="A39" s="8">
        <v>500</v>
      </c>
      <c r="B39" t="s">
        <v>632</v>
      </c>
      <c r="D39" s="669">
        <v>-674113891</v>
      </c>
      <c r="E39" s="51">
        <v>-847080716</v>
      </c>
      <c r="F39" s="4" t="s">
        <v>1676</v>
      </c>
      <c r="G39" s="8">
        <f t="shared" ref="G39:G41" si="4">A39</f>
        <v>500</v>
      </c>
    </row>
    <row r="40" spans="1:7" ht="18" customHeight="1">
      <c r="A40" s="8">
        <f t="shared" ref="A40:A41" si="5">+A39+1</f>
        <v>501</v>
      </c>
      <c r="B40" t="s">
        <v>1638</v>
      </c>
      <c r="D40" s="671">
        <f>'24-Allocators'!$C$56</f>
        <v>0.12179514612484499</v>
      </c>
      <c r="E40" s="671">
        <f>'24-Allocators'!$C$56</f>
        <v>0.12179514612484499</v>
      </c>
      <c r="F40" s="6" t="str">
        <f>CONCATENATE("24-Allocators, Line ",'24-Allocators'!A56)</f>
        <v>24-Allocators, Line 135</v>
      </c>
      <c r="G40" s="8">
        <f t="shared" si="4"/>
        <v>501</v>
      </c>
    </row>
    <row r="41" spans="1:7" ht="18" customHeight="1">
      <c r="A41" s="8">
        <f t="shared" si="5"/>
        <v>502</v>
      </c>
      <c r="B41" t="s">
        <v>1639</v>
      </c>
      <c r="D41" s="670">
        <f>D39*D40</f>
        <v>-82103799.859132826</v>
      </c>
      <c r="E41" s="672">
        <f>+E40*E39</f>
        <v>-103170319.58475831</v>
      </c>
      <c r="F41" s="6" t="str">
        <f>"Line "&amp;A39&amp;" * Line "&amp;A40&amp;" (see Note 5)"</f>
        <v>Line 500 * Line 501 (see Note 5)</v>
      </c>
      <c r="G41" s="8">
        <f t="shared" si="4"/>
        <v>502</v>
      </c>
    </row>
    <row r="42" spans="1:7" ht="18" customHeight="1">
      <c r="A42" s="8"/>
      <c r="D42" s="15"/>
      <c r="E42" s="24"/>
      <c r="F42" s="6"/>
      <c r="G42" s="8"/>
    </row>
    <row r="43" spans="1:7" ht="18" customHeight="1">
      <c r="A43" s="8">
        <f>+A41+1</f>
        <v>503</v>
      </c>
      <c r="D43" s="15" t="s">
        <v>686</v>
      </c>
      <c r="E43" s="24">
        <f>ROUND(AVERAGE(D41:E41),0)</f>
        <v>-92637060</v>
      </c>
      <c r="F43" s="6" t="str">
        <f>CONCATENATE("Average of Line ",A41,", ",D37," and ",E37)</f>
        <v>Average of Line 502, Col 1 and Col 2</v>
      </c>
      <c r="G43" s="8">
        <f t="shared" ref="G43" si="6">A43</f>
        <v>503</v>
      </c>
    </row>
    <row r="44" spans="1:7" ht="18" customHeight="1">
      <c r="A44" s="8"/>
      <c r="D44" s="15"/>
      <c r="E44" s="24"/>
      <c r="F44" s="6"/>
      <c r="G44" s="8"/>
    </row>
    <row r="45" spans="1:7" ht="18" customHeight="1">
      <c r="B45" s="57" t="s">
        <v>1643</v>
      </c>
      <c r="C45" s="54"/>
      <c r="D45" s="54"/>
      <c r="E45" s="54"/>
      <c r="F45" s="218"/>
    </row>
    <row r="46" spans="1:7" ht="18" customHeight="1">
      <c r="B46" s="12"/>
      <c r="D46" s="8" t="s">
        <v>100</v>
      </c>
      <c r="E46" s="8" t="s">
        <v>101</v>
      </c>
      <c r="F46" s="30"/>
    </row>
    <row r="47" spans="1:7" ht="18" customHeight="1">
      <c r="B47" s="12"/>
      <c r="D47" s="13" t="s">
        <v>1455</v>
      </c>
      <c r="E47" s="13" t="s">
        <v>1456</v>
      </c>
      <c r="F47" s="13" t="s">
        <v>54</v>
      </c>
    </row>
    <row r="48" spans="1:7" ht="18" customHeight="1">
      <c r="A48" s="8">
        <v>600</v>
      </c>
      <c r="B48" t="s">
        <v>1644</v>
      </c>
      <c r="D48" s="669">
        <v>-581361</v>
      </c>
      <c r="E48" s="51">
        <v>-1882384</v>
      </c>
      <c r="F48" s="4" t="s">
        <v>1677</v>
      </c>
      <c r="G48" s="8">
        <f t="shared" ref="G48:G50" si="7">A48</f>
        <v>600</v>
      </c>
    </row>
    <row r="49" spans="1:7" ht="18" customHeight="1">
      <c r="A49" s="8">
        <f t="shared" ref="A49:A50" si="8">+A48+1</f>
        <v>601</v>
      </c>
      <c r="B49" t="s">
        <v>688</v>
      </c>
      <c r="D49" s="671">
        <f>'24-Allocators'!$C$24</f>
        <v>9.5754660785216397E-2</v>
      </c>
      <c r="E49" s="671">
        <f>'24-Allocators'!$C$24</f>
        <v>9.5754660785216397E-2</v>
      </c>
      <c r="F49" s="6" t="str">
        <f>CONCATENATE("24-Allocators, Line ",'24-Allocators'!A24)</f>
        <v>24-Allocators, Line 113</v>
      </c>
      <c r="G49" s="8">
        <f t="shared" si="7"/>
        <v>601</v>
      </c>
    </row>
    <row r="50" spans="1:7" ht="18" customHeight="1">
      <c r="A50" s="8">
        <f t="shared" si="8"/>
        <v>602</v>
      </c>
      <c r="B50" t="s">
        <v>1639</v>
      </c>
      <c r="D50" s="670">
        <f>D48*D49</f>
        <v>-55668.025348754192</v>
      </c>
      <c r="E50" s="672">
        <f>+E49*E48</f>
        <v>-180247.04138751878</v>
      </c>
      <c r="F50" s="6" t="str">
        <f>"Line "&amp;A48&amp;" * Line "&amp;A49&amp;" (see Note 6)"</f>
        <v>Line 600 * Line 601 (see Note 6)</v>
      </c>
      <c r="G50" s="8">
        <f t="shared" si="7"/>
        <v>602</v>
      </c>
    </row>
    <row r="51" spans="1:7" ht="18" customHeight="1">
      <c r="A51" s="8"/>
      <c r="D51" s="15"/>
      <c r="E51" s="24"/>
      <c r="F51" s="6"/>
      <c r="G51" s="8"/>
    </row>
    <row r="52" spans="1:7">
      <c r="A52" s="8">
        <f>+A50+1</f>
        <v>603</v>
      </c>
      <c r="D52" s="15" t="s">
        <v>686</v>
      </c>
      <c r="E52" s="24">
        <f>ROUND(AVERAGE(D50:E50),0)</f>
        <v>-117958</v>
      </c>
      <c r="F52" s="6" t="str">
        <f>CONCATENATE("Average of Line ",A50,", ",D46," and ",E46)</f>
        <v>Average of Line 602, Col 1 and Col 2</v>
      </c>
      <c r="G52" s="8">
        <f t="shared" ref="G52" si="9">A52</f>
        <v>603</v>
      </c>
    </row>
    <row r="53" spans="1:7">
      <c r="A53" s="8"/>
      <c r="D53" s="15"/>
      <c r="E53" s="24"/>
      <c r="F53" s="6"/>
      <c r="G53" s="8"/>
    </row>
    <row r="54" spans="1:7">
      <c r="A54" s="8"/>
      <c r="D54" s="15"/>
      <c r="E54" s="24"/>
      <c r="F54" s="6"/>
      <c r="G54" s="8"/>
    </row>
    <row r="55" spans="1:7" ht="15" customHeight="1">
      <c r="B55" s="828" t="s">
        <v>1470</v>
      </c>
      <c r="C55" s="828"/>
      <c r="D55" s="828"/>
      <c r="E55" s="828"/>
      <c r="F55" s="828"/>
    </row>
    <row r="56" spans="1:7">
      <c r="B56" s="828"/>
      <c r="C56" s="828"/>
      <c r="D56" s="828"/>
      <c r="E56" s="828"/>
      <c r="F56" s="828"/>
    </row>
    <row r="57" spans="1:7">
      <c r="B57" s="306"/>
      <c r="C57" s="306"/>
      <c r="D57" s="306"/>
      <c r="E57" s="306"/>
      <c r="F57" s="306"/>
    </row>
    <row r="58" spans="1:7" ht="15" customHeight="1">
      <c r="B58" s="815" t="s">
        <v>1471</v>
      </c>
      <c r="C58" s="815"/>
      <c r="D58" s="815"/>
      <c r="E58" s="815"/>
      <c r="F58" s="815"/>
    </row>
    <row r="59" spans="1:7">
      <c r="B59" s="815"/>
      <c r="C59" s="815"/>
      <c r="D59" s="815"/>
      <c r="E59" s="815"/>
      <c r="F59" s="815"/>
    </row>
    <row r="60" spans="1:7">
      <c r="B60" s="815"/>
      <c r="C60" s="815"/>
      <c r="D60" s="815"/>
      <c r="E60" s="815"/>
      <c r="F60" s="815"/>
    </row>
    <row r="61" spans="1:7">
      <c r="B61" s="306"/>
      <c r="C61" s="306"/>
      <c r="D61" s="306"/>
      <c r="E61" s="306"/>
      <c r="F61" s="306"/>
    </row>
    <row r="62" spans="1:7" ht="15" customHeight="1">
      <c r="B62" s="829" t="s">
        <v>1472</v>
      </c>
      <c r="C62" s="829"/>
      <c r="D62" s="829"/>
      <c r="E62" s="829"/>
      <c r="F62" s="829"/>
    </row>
    <row r="63" spans="1:7">
      <c r="B63" s="829"/>
      <c r="C63" s="829"/>
      <c r="D63" s="829"/>
      <c r="E63" s="829"/>
      <c r="F63" s="829"/>
    </row>
    <row r="64" spans="1:7">
      <c r="B64" s="829"/>
      <c r="C64" s="829"/>
      <c r="D64" s="829"/>
      <c r="E64" s="829"/>
      <c r="F64" s="829"/>
    </row>
    <row r="65" spans="2:6">
      <c r="B65" s="829"/>
      <c r="C65" s="829"/>
      <c r="D65" s="829"/>
      <c r="E65" s="829"/>
      <c r="F65" s="829"/>
    </row>
    <row r="66" spans="2:6">
      <c r="B66" s="17"/>
      <c r="C66" s="17"/>
      <c r="D66" s="17"/>
      <c r="E66" s="17"/>
      <c r="F66" s="17"/>
    </row>
    <row r="67" spans="2:6" ht="15" customHeight="1">
      <c r="B67" s="815" t="s">
        <v>1674</v>
      </c>
      <c r="C67" s="815"/>
      <c r="D67" s="815"/>
      <c r="E67" s="815"/>
      <c r="F67" s="815"/>
    </row>
    <row r="68" spans="2:6">
      <c r="B68" s="815"/>
      <c r="C68" s="815"/>
      <c r="D68" s="815"/>
      <c r="E68" s="815"/>
      <c r="F68" s="815"/>
    </row>
    <row r="69" spans="2:6">
      <c r="B69" s="815"/>
      <c r="C69" s="815"/>
      <c r="D69" s="815"/>
      <c r="E69" s="815"/>
      <c r="F69" s="815"/>
    </row>
    <row r="70" spans="2:6">
      <c r="B70" s="815"/>
      <c r="C70" s="815"/>
      <c r="D70" s="815"/>
      <c r="E70" s="815"/>
      <c r="F70" s="815"/>
    </row>
    <row r="71" spans="2:6">
      <c r="B71" s="17"/>
      <c r="C71" s="17"/>
      <c r="D71" s="17"/>
      <c r="E71" s="17"/>
      <c r="F71" s="17"/>
    </row>
    <row r="72" spans="2:6" ht="15" customHeight="1">
      <c r="B72" s="815" t="s">
        <v>1673</v>
      </c>
      <c r="C72" s="815"/>
      <c r="D72" s="815"/>
      <c r="E72" s="815"/>
      <c r="F72" s="815"/>
    </row>
    <row r="73" spans="2:6">
      <c r="B73" s="815"/>
      <c r="C73" s="815"/>
      <c r="D73" s="815"/>
      <c r="E73" s="815"/>
      <c r="F73" s="815"/>
    </row>
    <row r="74" spans="2:6">
      <c r="B74" s="815"/>
      <c r="C74" s="815"/>
      <c r="D74" s="815"/>
      <c r="E74" s="815"/>
      <c r="F74" s="815"/>
    </row>
  </sheetData>
  <mergeCells count="5">
    <mergeCell ref="B55:F56"/>
    <mergeCell ref="B67:F70"/>
    <mergeCell ref="B72:F74"/>
    <mergeCell ref="B58:F60"/>
    <mergeCell ref="B62:F65"/>
  </mergeCells>
  <printOptions horizontalCentered="1"/>
  <pageMargins left="1" right="1" top="1" bottom="1" header="0.5" footer="0.5"/>
  <pageSetup scale="69"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2"/>
  <sheetViews>
    <sheetView tabSelected="1" view="pageBreakPreview" topLeftCell="A29" zoomScale="55" zoomScaleNormal="85" zoomScaleSheetLayoutView="55" zoomScalePageLayoutView="70" workbookViewId="0">
      <selection activeCell="P108" sqref="P108"/>
    </sheetView>
  </sheetViews>
  <sheetFormatPr defaultColWidth="9.1796875" defaultRowHeight="14.5"/>
  <cols>
    <col min="1" max="1" width="5.54296875" customWidth="1"/>
    <col min="2" max="2" width="54.26953125" customWidth="1"/>
    <col min="3" max="3" width="24.453125" customWidth="1"/>
    <col min="4" max="4" width="19" customWidth="1"/>
    <col min="5" max="5" width="18.81640625" bestFit="1" customWidth="1"/>
    <col min="6" max="6" width="24.54296875" customWidth="1"/>
    <col min="7" max="7" width="24.81640625" customWidth="1"/>
    <col min="8" max="8" width="15.1796875" bestFit="1" customWidth="1"/>
    <col min="9" max="9" width="16.54296875" customWidth="1"/>
    <col min="10" max="10" width="23" bestFit="1" customWidth="1"/>
    <col min="11" max="11" width="6.7265625" bestFit="1" customWidth="1"/>
    <col min="12" max="20" width="9.1796875" customWidth="1"/>
  </cols>
  <sheetData>
    <row r="1" spans="1:20">
      <c r="B1" s="329" t="s">
        <v>725</v>
      </c>
      <c r="C1" s="317"/>
      <c r="D1" s="317"/>
      <c r="E1" s="15"/>
      <c r="G1" s="15"/>
      <c r="J1" s="15" t="str">
        <f>CONCATENATE("Prior Year: ",'1-BaseTRR'!$F$2)</f>
        <v>Prior Year: 2022</v>
      </c>
    </row>
    <row r="2" spans="1:20">
      <c r="B2" s="117" t="s">
        <v>196</v>
      </c>
      <c r="C2" s="317"/>
      <c r="D2" s="317"/>
      <c r="E2" s="15"/>
      <c r="F2" s="15"/>
      <c r="G2" s="15"/>
    </row>
    <row r="3" spans="1:20">
      <c r="B3" s="317"/>
      <c r="C3" s="317"/>
      <c r="D3" s="317"/>
      <c r="E3" s="317"/>
      <c r="F3" s="317"/>
      <c r="G3" s="317"/>
    </row>
    <row r="4" spans="1:20" ht="15.75" customHeight="1">
      <c r="A4" s="318"/>
      <c r="B4" s="317" t="s">
        <v>724</v>
      </c>
      <c r="C4" s="317"/>
      <c r="D4" s="317"/>
      <c r="E4" s="317"/>
      <c r="F4" s="317"/>
      <c r="G4" s="317"/>
      <c r="N4" s="830"/>
      <c r="O4" s="831"/>
      <c r="P4" s="831"/>
      <c r="Q4" s="831"/>
      <c r="R4" s="831"/>
      <c r="S4" s="831"/>
      <c r="T4" s="831"/>
    </row>
    <row r="5" spans="1:20">
      <c r="A5" s="318"/>
      <c r="B5" s="317" t="s">
        <v>723</v>
      </c>
      <c r="C5" s="317"/>
      <c r="D5" s="317"/>
      <c r="E5" s="317"/>
      <c r="F5" s="317"/>
      <c r="G5" s="317"/>
    </row>
    <row r="6" spans="1:20">
      <c r="A6" s="318"/>
      <c r="B6" s="317" t="s">
        <v>722</v>
      </c>
      <c r="C6" s="317"/>
      <c r="D6" s="317"/>
      <c r="E6" s="317"/>
      <c r="F6" s="317"/>
      <c r="G6" s="317"/>
    </row>
    <row r="7" spans="1:20">
      <c r="A7" s="318"/>
      <c r="B7" s="317"/>
      <c r="C7" s="317"/>
      <c r="D7" s="317"/>
      <c r="E7" s="317"/>
      <c r="F7" s="317"/>
      <c r="G7" s="317"/>
    </row>
    <row r="8" spans="1:20">
      <c r="A8" s="318"/>
      <c r="B8" s="317" t="s">
        <v>721</v>
      </c>
      <c r="C8" s="317"/>
      <c r="D8" s="317"/>
      <c r="E8" s="317"/>
      <c r="F8" s="317"/>
      <c r="G8" s="317"/>
    </row>
    <row r="9" spans="1:20">
      <c r="A9" s="318"/>
      <c r="B9" s="317" t="s">
        <v>720</v>
      </c>
      <c r="C9" s="317"/>
      <c r="D9" s="317"/>
      <c r="E9" s="317"/>
      <c r="F9" s="317"/>
      <c r="G9" s="317"/>
    </row>
    <row r="10" spans="1:20">
      <c r="A10" s="318"/>
      <c r="B10" s="317"/>
      <c r="C10" s="317"/>
      <c r="D10" s="317"/>
      <c r="E10" s="317"/>
      <c r="F10" s="317"/>
      <c r="G10" s="317"/>
    </row>
    <row r="11" spans="1:20">
      <c r="A11" s="318"/>
      <c r="B11" s="317" t="s">
        <v>719</v>
      </c>
      <c r="C11" s="317"/>
      <c r="D11" s="317"/>
      <c r="E11" s="317"/>
      <c r="F11" s="317"/>
      <c r="G11" s="317"/>
    </row>
    <row r="12" spans="1:20">
      <c r="A12" s="318"/>
      <c r="B12" s="317" t="s">
        <v>718</v>
      </c>
      <c r="C12" s="317"/>
      <c r="D12" s="317"/>
      <c r="E12" s="317"/>
      <c r="F12" s="317"/>
      <c r="G12" s="317"/>
    </row>
    <row r="13" spans="1:20">
      <c r="A13" s="318"/>
      <c r="B13" s="317" t="s">
        <v>717</v>
      </c>
      <c r="C13" s="317"/>
      <c r="D13" s="317"/>
      <c r="E13" s="317"/>
      <c r="F13" s="317"/>
      <c r="G13" s="317"/>
    </row>
    <row r="14" spans="1:20">
      <c r="A14" s="318"/>
      <c r="B14" s="317"/>
      <c r="C14" s="317"/>
      <c r="D14" s="317"/>
      <c r="E14" s="317"/>
      <c r="F14" s="317"/>
      <c r="G14" s="317"/>
    </row>
    <row r="15" spans="1:20">
      <c r="A15" s="318"/>
      <c r="B15" s="57" t="s">
        <v>1610</v>
      </c>
      <c r="C15" s="54"/>
      <c r="D15" s="54"/>
      <c r="E15" s="54"/>
      <c r="F15" s="54"/>
      <c r="G15" s="54"/>
    </row>
    <row r="16" spans="1:20">
      <c r="A16" s="318"/>
      <c r="B16" s="329" t="s">
        <v>135</v>
      </c>
      <c r="C16" s="317"/>
      <c r="D16" s="317"/>
      <c r="E16" s="317"/>
      <c r="F16" s="317"/>
      <c r="G16" s="317"/>
    </row>
    <row r="17" spans="1:11">
      <c r="A17" s="318"/>
      <c r="B17" s="317" t="s">
        <v>716</v>
      </c>
      <c r="C17" s="317"/>
      <c r="D17" s="317"/>
      <c r="E17" s="317"/>
      <c r="F17" s="317"/>
      <c r="G17" s="317"/>
    </row>
    <row r="18" spans="1:11">
      <c r="A18" s="318"/>
      <c r="B18" s="317" t="s">
        <v>715</v>
      </c>
    </row>
    <row r="19" spans="1:11">
      <c r="A19" s="318"/>
      <c r="B19" s="332" t="s">
        <v>714</v>
      </c>
    </row>
    <row r="20" spans="1:11">
      <c r="A20" s="318"/>
      <c r="B20" s="332" t="s">
        <v>713</v>
      </c>
      <c r="E20" s="17"/>
    </row>
    <row r="21" spans="1:11">
      <c r="A21" s="318"/>
      <c r="B21" s="317" t="s">
        <v>712</v>
      </c>
    </row>
    <row r="22" spans="1:11">
      <c r="A22" s="318"/>
      <c r="B22" s="317"/>
    </row>
    <row r="23" spans="1:11">
      <c r="A23" s="318"/>
      <c r="B23" s="317"/>
      <c r="C23" s="317"/>
      <c r="D23" s="317"/>
      <c r="E23" s="318" t="s">
        <v>134</v>
      </c>
      <c r="F23" s="317"/>
      <c r="G23" s="317"/>
    </row>
    <row r="24" spans="1:11">
      <c r="A24" s="323" t="s">
        <v>124</v>
      </c>
      <c r="B24" s="317"/>
      <c r="C24" s="317"/>
      <c r="D24" s="317"/>
      <c r="E24" s="323" t="s">
        <v>300</v>
      </c>
      <c r="F24" s="331" t="s">
        <v>711</v>
      </c>
      <c r="G24" s="331"/>
      <c r="K24" s="323" t="str">
        <f>A24</f>
        <v>Line</v>
      </c>
    </row>
    <row r="25" spans="1:11">
      <c r="A25" s="318">
        <v>100</v>
      </c>
      <c r="B25" s="317" t="s">
        <v>710</v>
      </c>
      <c r="C25" s="317"/>
      <c r="D25" s="317"/>
      <c r="E25" s="627">
        <f>+D34</f>
        <v>0</v>
      </c>
      <c r="F25" s="317" t="s">
        <v>1584</v>
      </c>
      <c r="G25" s="317"/>
      <c r="K25" s="318">
        <f>A25</f>
        <v>100</v>
      </c>
    </row>
    <row r="26" spans="1:11">
      <c r="A26" s="318">
        <f>A25+1</f>
        <v>101</v>
      </c>
      <c r="B26" s="317" t="s">
        <v>709</v>
      </c>
      <c r="C26" s="317"/>
      <c r="D26" s="317"/>
      <c r="E26" s="627">
        <f>AVERAGE(C34:D34)</f>
        <v>0</v>
      </c>
      <c r="F26" s="317" t="s">
        <v>1084</v>
      </c>
      <c r="G26" s="317"/>
      <c r="K26" s="318">
        <f>A26</f>
        <v>101</v>
      </c>
    </row>
    <row r="27" spans="1:11">
      <c r="A27" s="318">
        <f>A26+1</f>
        <v>102</v>
      </c>
      <c r="B27" s="317" t="s">
        <v>708</v>
      </c>
      <c r="C27" s="317"/>
      <c r="D27" s="317"/>
      <c r="E27" s="627">
        <f>+E34</f>
        <v>0</v>
      </c>
      <c r="F27" s="317" t="s">
        <v>1085</v>
      </c>
      <c r="G27" s="317"/>
      <c r="K27" s="318">
        <f>A27</f>
        <v>102</v>
      </c>
    </row>
    <row r="28" spans="1:11">
      <c r="A28" s="318"/>
      <c r="B28" s="317"/>
      <c r="C28" s="317"/>
      <c r="D28" s="317"/>
      <c r="E28" s="324"/>
      <c r="F28" s="317"/>
      <c r="G28" s="317"/>
      <c r="K28" s="318"/>
    </row>
    <row r="29" spans="1:11">
      <c r="A29" s="318"/>
      <c r="B29" s="317"/>
      <c r="C29" s="330" t="s">
        <v>585</v>
      </c>
      <c r="D29" s="330" t="s">
        <v>586</v>
      </c>
      <c r="E29" s="330" t="s">
        <v>587</v>
      </c>
      <c r="F29" s="317"/>
      <c r="G29" s="317"/>
      <c r="K29" s="318"/>
    </row>
    <row r="30" spans="1:11">
      <c r="A30" s="318"/>
      <c r="B30" s="317"/>
      <c r="C30" s="318" t="s">
        <v>134</v>
      </c>
      <c r="D30" s="318" t="s">
        <v>134</v>
      </c>
      <c r="E30" s="318" t="s">
        <v>134</v>
      </c>
      <c r="F30" s="317"/>
      <c r="G30" s="317"/>
      <c r="K30" s="318"/>
    </row>
    <row r="31" spans="1:11">
      <c r="A31" s="318"/>
      <c r="B31" s="318" t="s">
        <v>707</v>
      </c>
      <c r="C31" s="318" t="s">
        <v>706</v>
      </c>
      <c r="D31" s="318" t="s">
        <v>705</v>
      </c>
      <c r="E31" s="12" t="s">
        <v>704</v>
      </c>
      <c r="F31" s="329" t="s">
        <v>703</v>
      </c>
      <c r="G31" s="329"/>
      <c r="K31" s="318"/>
    </row>
    <row r="32" spans="1:11">
      <c r="A32" s="323"/>
      <c r="B32" s="318" t="s">
        <v>702</v>
      </c>
      <c r="C32" s="318" t="s">
        <v>701</v>
      </c>
      <c r="D32" s="318" t="s">
        <v>701</v>
      </c>
      <c r="E32" s="318" t="s">
        <v>700</v>
      </c>
      <c r="F32" s="329" t="s">
        <v>699</v>
      </c>
      <c r="G32" s="329"/>
      <c r="K32" s="318"/>
    </row>
    <row r="33" spans="1:11">
      <c r="A33" s="323" t="s">
        <v>124</v>
      </c>
      <c r="B33" s="323" t="s">
        <v>698</v>
      </c>
      <c r="C33" s="323" t="s">
        <v>698</v>
      </c>
      <c r="D33" s="323" t="s">
        <v>698</v>
      </c>
      <c r="E33" s="323" t="s">
        <v>697</v>
      </c>
      <c r="F33" s="328" t="s">
        <v>696</v>
      </c>
      <c r="G33" s="323" t="s">
        <v>54</v>
      </c>
      <c r="K33" s="323" t="str">
        <f>A33</f>
        <v>Line</v>
      </c>
    </row>
    <row r="34" spans="1:11" ht="15" thickBot="1">
      <c r="A34" s="327">
        <f>A27+1</f>
        <v>103</v>
      </c>
      <c r="B34" s="325" t="s">
        <v>695</v>
      </c>
      <c r="C34" s="626">
        <f>SUM(C36:C38)</f>
        <v>0</v>
      </c>
      <c r="D34" s="626">
        <f>SUM(D36:D38)</f>
        <v>0</v>
      </c>
      <c r="E34" s="326">
        <f>SUM(E36:E38)</f>
        <v>0</v>
      </c>
      <c r="F34" s="325"/>
      <c r="G34" s="325"/>
      <c r="K34" s="318">
        <f>A34</f>
        <v>103</v>
      </c>
    </row>
    <row r="35" spans="1:11" ht="15" thickTop="1">
      <c r="A35" s="318"/>
      <c r="B35" s="317"/>
      <c r="C35" s="324"/>
      <c r="D35" s="324"/>
      <c r="E35" s="324"/>
      <c r="F35" s="317"/>
      <c r="G35" s="317"/>
      <c r="K35" s="323"/>
    </row>
    <row r="36" spans="1:11">
      <c r="A36" s="318">
        <f>A34+1</f>
        <v>104</v>
      </c>
      <c r="B36" s="319" t="s">
        <v>1575</v>
      </c>
      <c r="C36" s="624"/>
      <c r="D36" s="624"/>
      <c r="E36" s="321"/>
      <c r="F36" s="319"/>
      <c r="G36" s="319"/>
      <c r="K36" s="318">
        <f>A36</f>
        <v>104</v>
      </c>
    </row>
    <row r="37" spans="1:11">
      <c r="A37" s="318">
        <f>A36+1</f>
        <v>105</v>
      </c>
      <c r="B37" s="319" t="s">
        <v>694</v>
      </c>
      <c r="C37" s="624"/>
      <c r="D37" s="624"/>
      <c r="E37" s="321"/>
      <c r="F37" s="319"/>
      <c r="G37" s="319"/>
      <c r="K37" s="318">
        <f>A37</f>
        <v>105</v>
      </c>
    </row>
    <row r="38" spans="1:11">
      <c r="A38" s="318">
        <f t="shared" ref="A38:A39" si="0">A37+1</f>
        <v>106</v>
      </c>
      <c r="B38" s="319" t="s">
        <v>693</v>
      </c>
      <c r="C38" s="625"/>
      <c r="D38" s="624"/>
      <c r="E38" s="320"/>
      <c r="F38" s="319"/>
      <c r="G38" s="319"/>
      <c r="K38" s="318">
        <f>A38</f>
        <v>106</v>
      </c>
    </row>
    <row r="39" spans="1:11">
      <c r="A39" s="318">
        <f t="shared" si="0"/>
        <v>107</v>
      </c>
      <c r="B39" s="322" t="s">
        <v>322</v>
      </c>
      <c r="C39" s="625"/>
      <c r="D39" s="624"/>
      <c r="E39" s="320"/>
      <c r="F39" s="319"/>
      <c r="G39" s="319"/>
      <c r="K39" s="318">
        <f>A39</f>
        <v>107</v>
      </c>
    </row>
    <row r="40" spans="1:11">
      <c r="A40" s="318"/>
      <c r="B40" s="317"/>
      <c r="C40" s="317"/>
      <c r="D40" s="317"/>
      <c r="E40" s="317"/>
      <c r="F40" s="317"/>
      <c r="G40" s="317"/>
      <c r="H40" s="318"/>
    </row>
    <row r="41" spans="1:11">
      <c r="A41" s="318"/>
    </row>
    <row r="42" spans="1:11">
      <c r="A42" s="318"/>
      <c r="B42" s="317"/>
    </row>
    <row r="43" spans="1:11">
      <c r="A43" s="131"/>
      <c r="B43" s="118" t="s">
        <v>1580</v>
      </c>
      <c r="C43" s="180"/>
      <c r="D43" s="301"/>
      <c r="E43" s="301"/>
      <c r="F43" s="296"/>
      <c r="G43" s="296"/>
      <c r="H43" s="296"/>
      <c r="I43" s="302"/>
      <c r="J43" s="144"/>
    </row>
    <row r="44" spans="1:11">
      <c r="A44" s="131"/>
      <c r="B44" s="142"/>
      <c r="C44" s="176"/>
      <c r="D44" s="360"/>
      <c r="E44" s="360"/>
      <c r="F44" s="285"/>
      <c r="G44" s="285"/>
      <c r="H44" s="285"/>
      <c r="I44" s="18"/>
      <c r="J44" s="17"/>
    </row>
    <row r="45" spans="1:11">
      <c r="A45" s="119" t="s">
        <v>124</v>
      </c>
      <c r="B45" s="13" t="s">
        <v>129</v>
      </c>
      <c r="C45" s="13" t="s">
        <v>881</v>
      </c>
      <c r="D45" s="182" t="s">
        <v>54</v>
      </c>
      <c r="E45" s="360"/>
      <c r="F45" s="285"/>
      <c r="G45" s="285"/>
      <c r="H45" s="285"/>
      <c r="I45" s="18"/>
      <c r="J45" s="17"/>
      <c r="K45" s="119" t="s">
        <v>124</v>
      </c>
    </row>
    <row r="46" spans="1:11" ht="72.5">
      <c r="A46" s="131">
        <v>200</v>
      </c>
      <c r="B46" s="628" t="s">
        <v>1576</v>
      </c>
      <c r="C46" s="436">
        <f>IF(B56=2017,0,('17-RegAssets-2'!AP23+'17-RegAssets-3'!AR23))</f>
        <v>-535162605.7936902</v>
      </c>
      <c r="D46" s="701" t="s">
        <v>2013</v>
      </c>
      <c r="E46" s="360"/>
      <c r="F46" s="285"/>
      <c r="G46" s="285"/>
      <c r="H46" s="285"/>
      <c r="I46" s="18"/>
      <c r="J46" s="17"/>
      <c r="K46" s="131">
        <f>A46</f>
        <v>200</v>
      </c>
    </row>
    <row r="47" spans="1:11" ht="58">
      <c r="A47" s="131">
        <f>A46+1</f>
        <v>201</v>
      </c>
      <c r="B47" s="628" t="s">
        <v>1577</v>
      </c>
      <c r="C47" s="436">
        <f>+'17-RegAssets-2'!BD23+'17-RegAssets-3'!BF23</f>
        <v>-513953807.01430571</v>
      </c>
      <c r="D47" s="701" t="s">
        <v>2014</v>
      </c>
      <c r="E47" s="360"/>
      <c r="F47" s="285"/>
      <c r="G47" s="285"/>
      <c r="H47" s="285"/>
      <c r="I47" s="18"/>
      <c r="J47" s="17"/>
      <c r="K47" s="131">
        <f t="shared" ref="K47:K48" si="1">A47</f>
        <v>201</v>
      </c>
    </row>
    <row r="48" spans="1:11">
      <c r="A48" s="131">
        <f>A47+1</f>
        <v>202</v>
      </c>
      <c r="B48" s="387" t="s">
        <v>1574</v>
      </c>
      <c r="C48" s="436">
        <f>J69</f>
        <v>-525337799.23584288</v>
      </c>
      <c r="D48" s="181" t="s">
        <v>1585</v>
      </c>
      <c r="E48" s="360"/>
      <c r="F48" s="285"/>
      <c r="G48" s="285"/>
      <c r="H48" s="285"/>
      <c r="I48" s="18"/>
      <c r="J48" s="17"/>
      <c r="K48" s="131">
        <f t="shared" si="1"/>
        <v>202</v>
      </c>
    </row>
    <row r="49" spans="1:11">
      <c r="A49" s="131"/>
      <c r="B49" s="142"/>
      <c r="C49" s="176"/>
      <c r="D49" s="360"/>
      <c r="E49" s="360"/>
      <c r="F49" s="285"/>
      <c r="G49" s="285"/>
      <c r="H49" s="285"/>
      <c r="I49" s="18"/>
      <c r="J49" s="17"/>
      <c r="K49" s="131"/>
    </row>
    <row r="50" spans="1:11">
      <c r="A50" s="131"/>
      <c r="B50" s="17"/>
      <c r="C50" s="122" t="s">
        <v>100</v>
      </c>
      <c r="D50" s="122" t="s">
        <v>101</v>
      </c>
      <c r="E50" s="122" t="s">
        <v>102</v>
      </c>
      <c r="F50" s="122" t="s">
        <v>103</v>
      </c>
      <c r="G50" s="122" t="s">
        <v>104</v>
      </c>
      <c r="H50" s="122" t="s">
        <v>105</v>
      </c>
      <c r="I50" s="122" t="s">
        <v>106</v>
      </c>
      <c r="J50" s="122" t="s">
        <v>107</v>
      </c>
      <c r="K50" s="131"/>
    </row>
    <row r="51" spans="1:11">
      <c r="A51" s="131"/>
      <c r="B51" s="17"/>
      <c r="C51" s="176"/>
      <c r="D51" s="303" t="s">
        <v>655</v>
      </c>
      <c r="E51" s="303" t="s">
        <v>656</v>
      </c>
      <c r="F51" s="286"/>
      <c r="G51" s="286"/>
      <c r="H51" s="303" t="s">
        <v>657</v>
      </c>
      <c r="I51" s="123" t="s">
        <v>658</v>
      </c>
      <c r="J51" s="303" t="s">
        <v>1476</v>
      </c>
      <c r="K51" s="131"/>
    </row>
    <row r="52" spans="1:11">
      <c r="A52" s="131"/>
      <c r="B52" s="17"/>
      <c r="C52" s="176"/>
      <c r="D52" s="291"/>
      <c r="E52" s="291"/>
      <c r="F52" s="286"/>
      <c r="G52" s="286"/>
      <c r="H52" s="286"/>
      <c r="I52" s="18"/>
      <c r="J52" s="17"/>
      <c r="K52" s="131"/>
    </row>
    <row r="53" spans="1:11">
      <c r="A53" s="131"/>
      <c r="B53" s="17"/>
      <c r="C53" s="182"/>
      <c r="D53" s="303" t="s">
        <v>659</v>
      </c>
      <c r="E53" s="303" t="s">
        <v>660</v>
      </c>
      <c r="F53" s="303"/>
      <c r="G53" s="303" t="s">
        <v>661</v>
      </c>
      <c r="H53" s="303" t="s">
        <v>662</v>
      </c>
      <c r="I53" s="131" t="s">
        <v>663</v>
      </c>
      <c r="J53" s="131" t="s">
        <v>664</v>
      </c>
      <c r="K53" s="131"/>
    </row>
    <row r="54" spans="1:11">
      <c r="A54" s="119" t="s">
        <v>124</v>
      </c>
      <c r="B54" s="119" t="s">
        <v>111</v>
      </c>
      <c r="C54" s="182" t="s">
        <v>665</v>
      </c>
      <c r="D54" s="305" t="s">
        <v>666</v>
      </c>
      <c r="E54" s="305" t="s">
        <v>667</v>
      </c>
      <c r="F54" s="305" t="s">
        <v>668</v>
      </c>
      <c r="G54" s="305" t="s">
        <v>669</v>
      </c>
      <c r="H54" s="305" t="s">
        <v>670</v>
      </c>
      <c r="I54" s="119" t="s">
        <v>671</v>
      </c>
      <c r="J54" s="119" t="s">
        <v>672</v>
      </c>
      <c r="K54" s="119" t="str">
        <f t="shared" ref="K54:K69" si="2">A54</f>
        <v>Line</v>
      </c>
    </row>
    <row r="55" spans="1:11" ht="29">
      <c r="A55" s="131">
        <f>A48+1</f>
        <v>203</v>
      </c>
      <c r="B55" s="17"/>
      <c r="C55" s="306" t="s">
        <v>1586</v>
      </c>
      <c r="D55" s="435"/>
      <c r="E55" s="209">
        <f>+C46</f>
        <v>-535162605.7936902</v>
      </c>
      <c r="F55" s="286"/>
      <c r="G55" s="44">
        <f>+G56+F56-G67</f>
        <v>365</v>
      </c>
      <c r="H55" s="309">
        <f>1</f>
        <v>1</v>
      </c>
      <c r="I55" s="310"/>
      <c r="J55" s="437">
        <f>+E55</f>
        <v>-535162605.7936902</v>
      </c>
      <c r="K55" s="131">
        <f t="shared" si="2"/>
        <v>203</v>
      </c>
    </row>
    <row r="56" spans="1:11">
      <c r="A56" s="131">
        <f t="shared" ref="A56:A69" si="3">A55+1</f>
        <v>204</v>
      </c>
      <c r="B56" s="27">
        <f>'1-BaseTRR'!$F$2</f>
        <v>2022</v>
      </c>
      <c r="C56" s="306" t="s">
        <v>114</v>
      </c>
      <c r="D56" s="209">
        <f>(-$C$46+$C$47)/12</f>
        <v>1767399.8982820411</v>
      </c>
      <c r="E56" s="209">
        <f t="shared" ref="E56:E67" si="4">E55+D56</f>
        <v>-533395205.89540815</v>
      </c>
      <c r="F56" s="44">
        <v>31</v>
      </c>
      <c r="G56" s="44">
        <f t="shared" ref="G56:G65" si="5">+G57+F57</f>
        <v>335</v>
      </c>
      <c r="H56" s="309">
        <f>G56/G55</f>
        <v>0.9178082191780822</v>
      </c>
      <c r="I56" s="436">
        <f t="shared" ref="I56:I67" si="6">D56*H56</f>
        <v>1622134.1532177636</v>
      </c>
      <c r="J56" s="241">
        <f t="shared" ref="J56:J67" si="7">J55+I56</f>
        <v>-533540471.64047241</v>
      </c>
      <c r="K56" s="131">
        <f t="shared" si="2"/>
        <v>204</v>
      </c>
    </row>
    <row r="57" spans="1:11">
      <c r="A57" s="131">
        <f t="shared" si="3"/>
        <v>205</v>
      </c>
      <c r="B57" s="27">
        <f>'1-BaseTRR'!$F$2</f>
        <v>2022</v>
      </c>
      <c r="C57" s="306" t="s">
        <v>115</v>
      </c>
      <c r="D57" s="209">
        <f t="shared" ref="D57:D67" si="8">(-$C$46+$C$47)/12</f>
        <v>1767399.8982820411</v>
      </c>
      <c r="E57" s="209">
        <f t="shared" si="4"/>
        <v>-531627805.9971261</v>
      </c>
      <c r="F57" s="312">
        <v>28</v>
      </c>
      <c r="G57" s="44">
        <f t="shared" si="5"/>
        <v>307</v>
      </c>
      <c r="H57" s="309">
        <f>G57/G55</f>
        <v>0.84109589041095889</v>
      </c>
      <c r="I57" s="436">
        <f t="shared" si="6"/>
        <v>1486552.7911577716</v>
      </c>
      <c r="J57" s="241">
        <f t="shared" si="7"/>
        <v>-532053918.84931463</v>
      </c>
      <c r="K57" s="131">
        <f t="shared" si="2"/>
        <v>205</v>
      </c>
    </row>
    <row r="58" spans="1:11">
      <c r="A58" s="131">
        <f t="shared" si="3"/>
        <v>206</v>
      </c>
      <c r="B58" s="27">
        <f>'1-BaseTRR'!$F$2</f>
        <v>2022</v>
      </c>
      <c r="C58" s="306" t="s">
        <v>116</v>
      </c>
      <c r="D58" s="209">
        <f t="shared" si="8"/>
        <v>1767399.8982820411</v>
      </c>
      <c r="E58" s="209">
        <f t="shared" si="4"/>
        <v>-529860406.09884405</v>
      </c>
      <c r="F58" s="44">
        <v>31</v>
      </c>
      <c r="G58" s="44">
        <f t="shared" si="5"/>
        <v>276</v>
      </c>
      <c r="H58" s="309">
        <f>G58/G55</f>
        <v>0.75616438356164384</v>
      </c>
      <c r="I58" s="436">
        <f t="shared" si="6"/>
        <v>1336444.8545913517</v>
      </c>
      <c r="J58" s="241">
        <f t="shared" si="7"/>
        <v>-530717473.99472326</v>
      </c>
      <c r="K58" s="131">
        <f t="shared" si="2"/>
        <v>206</v>
      </c>
    </row>
    <row r="59" spans="1:11">
      <c r="A59" s="131">
        <f t="shared" si="3"/>
        <v>207</v>
      </c>
      <c r="B59" s="27">
        <f>'1-BaseTRR'!$F$2</f>
        <v>2022</v>
      </c>
      <c r="C59" s="306" t="s">
        <v>117</v>
      </c>
      <c r="D59" s="209">
        <f t="shared" si="8"/>
        <v>1767399.8982820411</v>
      </c>
      <c r="E59" s="209">
        <f t="shared" si="4"/>
        <v>-528093006.200562</v>
      </c>
      <c r="F59" s="44">
        <v>30</v>
      </c>
      <c r="G59" s="44">
        <f t="shared" si="5"/>
        <v>246</v>
      </c>
      <c r="H59" s="309">
        <f>G59/G55</f>
        <v>0.67397260273972603</v>
      </c>
      <c r="I59" s="436">
        <f t="shared" si="6"/>
        <v>1191179.1095270743</v>
      </c>
      <c r="J59" s="241">
        <f t="shared" si="7"/>
        <v>-529526294.88519621</v>
      </c>
      <c r="K59" s="131">
        <f t="shared" si="2"/>
        <v>207</v>
      </c>
    </row>
    <row r="60" spans="1:11">
      <c r="A60" s="131">
        <f t="shared" si="3"/>
        <v>208</v>
      </c>
      <c r="B60" s="27">
        <f>'1-BaseTRR'!$F$2</f>
        <v>2022</v>
      </c>
      <c r="C60" s="306" t="s">
        <v>90</v>
      </c>
      <c r="D60" s="209">
        <f t="shared" si="8"/>
        <v>1767399.8982820411</v>
      </c>
      <c r="E60" s="209">
        <f t="shared" si="4"/>
        <v>-526325606.30227995</v>
      </c>
      <c r="F60" s="44">
        <v>31</v>
      </c>
      <c r="G60" s="44">
        <f t="shared" si="5"/>
        <v>215</v>
      </c>
      <c r="H60" s="309">
        <f>G60/G55</f>
        <v>0.58904109589041098</v>
      </c>
      <c r="I60" s="436">
        <f t="shared" si="6"/>
        <v>1041071.1729606544</v>
      </c>
      <c r="J60" s="241">
        <f t="shared" si="7"/>
        <v>-528485223.71223557</v>
      </c>
      <c r="K60" s="131">
        <f t="shared" si="2"/>
        <v>208</v>
      </c>
    </row>
    <row r="61" spans="1:11">
      <c r="A61" s="131">
        <f t="shared" si="3"/>
        <v>209</v>
      </c>
      <c r="B61" s="27">
        <f>'1-BaseTRR'!$F$2</f>
        <v>2022</v>
      </c>
      <c r="C61" s="306" t="s">
        <v>277</v>
      </c>
      <c r="D61" s="209">
        <f t="shared" si="8"/>
        <v>1767399.8982820411</v>
      </c>
      <c r="E61" s="209">
        <f t="shared" si="4"/>
        <v>-524558206.4039979</v>
      </c>
      <c r="F61" s="44">
        <v>30</v>
      </c>
      <c r="G61" s="44">
        <f t="shared" si="5"/>
        <v>185</v>
      </c>
      <c r="H61" s="309">
        <f>G61/G55</f>
        <v>0.50684931506849318</v>
      </c>
      <c r="I61" s="436">
        <f t="shared" si="6"/>
        <v>895805.42789637705</v>
      </c>
      <c r="J61" s="241">
        <f t="shared" si="7"/>
        <v>-527589418.28433919</v>
      </c>
      <c r="K61" s="131">
        <f t="shared" si="2"/>
        <v>209</v>
      </c>
    </row>
    <row r="62" spans="1:11">
      <c r="A62" s="131">
        <f t="shared" si="3"/>
        <v>210</v>
      </c>
      <c r="B62" s="27">
        <f>'1-BaseTRR'!$F$2</f>
        <v>2022</v>
      </c>
      <c r="C62" s="306" t="s">
        <v>119</v>
      </c>
      <c r="D62" s="209">
        <f t="shared" si="8"/>
        <v>1767399.8982820411</v>
      </c>
      <c r="E62" s="209">
        <f t="shared" si="4"/>
        <v>-522790806.50571585</v>
      </c>
      <c r="F62" s="44">
        <v>31</v>
      </c>
      <c r="G62" s="44">
        <f t="shared" si="5"/>
        <v>154</v>
      </c>
      <c r="H62" s="309">
        <f>G62/G55</f>
        <v>0.42191780821917807</v>
      </c>
      <c r="I62" s="436">
        <f t="shared" si="6"/>
        <v>745697.49132995703</v>
      </c>
      <c r="J62" s="241">
        <f t="shared" si="7"/>
        <v>-526843720.79300922</v>
      </c>
      <c r="K62" s="131">
        <f t="shared" si="2"/>
        <v>210</v>
      </c>
    </row>
    <row r="63" spans="1:11">
      <c r="A63" s="131">
        <f t="shared" si="3"/>
        <v>211</v>
      </c>
      <c r="B63" s="27">
        <f>'1-BaseTRR'!$F$2</f>
        <v>2022</v>
      </c>
      <c r="C63" s="306" t="s">
        <v>120</v>
      </c>
      <c r="D63" s="209">
        <f t="shared" si="8"/>
        <v>1767399.8982820411</v>
      </c>
      <c r="E63" s="209">
        <f t="shared" si="4"/>
        <v>-521023406.6074338</v>
      </c>
      <c r="F63" s="44">
        <v>31</v>
      </c>
      <c r="G63" s="44">
        <f t="shared" si="5"/>
        <v>123</v>
      </c>
      <c r="H63" s="309">
        <f>G63/G55</f>
        <v>0.33698630136986302</v>
      </c>
      <c r="I63" s="436">
        <f t="shared" si="6"/>
        <v>595589.55476353713</v>
      </c>
      <c r="J63" s="241">
        <f t="shared" si="7"/>
        <v>-526248131.23824567</v>
      </c>
      <c r="K63" s="131">
        <f t="shared" si="2"/>
        <v>211</v>
      </c>
    </row>
    <row r="64" spans="1:11">
      <c r="A64" s="131">
        <f t="shared" si="3"/>
        <v>212</v>
      </c>
      <c r="B64" s="27">
        <f>'1-BaseTRR'!$F$2</f>
        <v>2022</v>
      </c>
      <c r="C64" s="306" t="s">
        <v>121</v>
      </c>
      <c r="D64" s="209">
        <f t="shared" si="8"/>
        <v>1767399.8982820411</v>
      </c>
      <c r="E64" s="209">
        <f t="shared" si="4"/>
        <v>-519256006.70915174</v>
      </c>
      <c r="F64" s="44">
        <v>30</v>
      </c>
      <c r="G64" s="44">
        <f t="shared" si="5"/>
        <v>93</v>
      </c>
      <c r="H64" s="309">
        <f>G64/G55</f>
        <v>0.25479452054794521</v>
      </c>
      <c r="I64" s="436">
        <f t="shared" si="6"/>
        <v>450323.80969925981</v>
      </c>
      <c r="J64" s="241">
        <f t="shared" si="7"/>
        <v>-525797807.42854643</v>
      </c>
      <c r="K64" s="131">
        <f t="shared" si="2"/>
        <v>212</v>
      </c>
    </row>
    <row r="65" spans="1:11">
      <c r="A65" s="131">
        <f t="shared" si="3"/>
        <v>213</v>
      </c>
      <c r="B65" s="27">
        <f>'1-BaseTRR'!$F$2</f>
        <v>2022</v>
      </c>
      <c r="C65" s="306" t="s">
        <v>122</v>
      </c>
      <c r="D65" s="209">
        <f t="shared" si="8"/>
        <v>1767399.8982820411</v>
      </c>
      <c r="E65" s="209">
        <f t="shared" si="4"/>
        <v>-517488606.81086969</v>
      </c>
      <c r="F65" s="44">
        <v>31</v>
      </c>
      <c r="G65" s="44">
        <f t="shared" si="5"/>
        <v>62</v>
      </c>
      <c r="H65" s="309">
        <f>G65/G55</f>
        <v>0.16986301369863013</v>
      </c>
      <c r="I65" s="436">
        <f t="shared" si="6"/>
        <v>300215.87313283986</v>
      </c>
      <c r="J65" s="241">
        <f t="shared" si="7"/>
        <v>-525497591.5554136</v>
      </c>
      <c r="K65" s="131">
        <f t="shared" si="2"/>
        <v>213</v>
      </c>
    </row>
    <row r="66" spans="1:11">
      <c r="A66" s="131">
        <f t="shared" si="3"/>
        <v>214</v>
      </c>
      <c r="B66" s="27">
        <f>'1-BaseTRR'!$F$2</f>
        <v>2022</v>
      </c>
      <c r="C66" s="306" t="s">
        <v>123</v>
      </c>
      <c r="D66" s="209">
        <f t="shared" si="8"/>
        <v>1767399.8982820411</v>
      </c>
      <c r="E66" s="209">
        <f t="shared" si="4"/>
        <v>-515721206.91258764</v>
      </c>
      <c r="F66" s="44">
        <v>30</v>
      </c>
      <c r="G66" s="44">
        <f>+G67+F67</f>
        <v>32</v>
      </c>
      <c r="H66" s="309">
        <f>G66/G55</f>
        <v>8.7671232876712329E-2</v>
      </c>
      <c r="I66" s="436">
        <f t="shared" si="6"/>
        <v>154950.12806856251</v>
      </c>
      <c r="J66" s="241">
        <f t="shared" si="7"/>
        <v>-525342641.42734504</v>
      </c>
      <c r="K66" s="131">
        <f t="shared" si="2"/>
        <v>214</v>
      </c>
    </row>
    <row r="67" spans="1:11">
      <c r="A67" s="131">
        <f t="shared" si="3"/>
        <v>215</v>
      </c>
      <c r="B67" s="27">
        <f>'1-BaseTRR'!$F$2</f>
        <v>2022</v>
      </c>
      <c r="C67" s="306" t="s">
        <v>113</v>
      </c>
      <c r="D67" s="209">
        <f t="shared" si="8"/>
        <v>1767399.8982820411</v>
      </c>
      <c r="E67" s="209">
        <f t="shared" si="4"/>
        <v>-513953807.01430559</v>
      </c>
      <c r="F67" s="44">
        <v>31</v>
      </c>
      <c r="G67" s="312">
        <v>1</v>
      </c>
      <c r="H67" s="309">
        <f>G67/G55</f>
        <v>2.7397260273972603E-3</v>
      </c>
      <c r="I67" s="436">
        <f t="shared" si="6"/>
        <v>4842.1915021425784</v>
      </c>
      <c r="J67" s="623">
        <f t="shared" si="7"/>
        <v>-525337799.23584288</v>
      </c>
      <c r="K67" s="131">
        <f t="shared" si="2"/>
        <v>215</v>
      </c>
    </row>
    <row r="68" spans="1:11">
      <c r="A68" s="131">
        <f t="shared" si="3"/>
        <v>216</v>
      </c>
      <c r="B68" s="17"/>
      <c r="C68" s="306" t="s">
        <v>209</v>
      </c>
      <c r="D68" s="209"/>
      <c r="E68" s="209">
        <f>C47</f>
        <v>-513953807.01430571</v>
      </c>
      <c r="F68" s="286"/>
      <c r="G68" s="286"/>
      <c r="H68" s="286"/>
      <c r="I68" s="18"/>
      <c r="J68" s="439"/>
      <c r="K68" s="131">
        <f t="shared" si="2"/>
        <v>216</v>
      </c>
    </row>
    <row r="69" spans="1:11">
      <c r="A69" s="131">
        <f t="shared" si="3"/>
        <v>217</v>
      </c>
      <c r="B69" s="17"/>
      <c r="C69" s="176"/>
      <c r="D69" s="291"/>
      <c r="E69" s="291"/>
      <c r="F69" s="286"/>
      <c r="G69" s="286"/>
      <c r="H69" s="286"/>
      <c r="I69" s="313" t="s">
        <v>673</v>
      </c>
      <c r="J69" s="552">
        <f>+J67</f>
        <v>-525337799.23584288</v>
      </c>
      <c r="K69" s="131">
        <f t="shared" si="2"/>
        <v>217</v>
      </c>
    </row>
    <row r="71" spans="1:11">
      <c r="B71" s="812" t="s">
        <v>1582</v>
      </c>
      <c r="C71" s="812"/>
      <c r="D71" s="812"/>
      <c r="E71" s="812"/>
      <c r="F71" s="812"/>
      <c r="G71" s="812"/>
      <c r="H71" s="812"/>
      <c r="I71" s="812"/>
      <c r="J71" s="812"/>
    </row>
    <row r="72" spans="1:11">
      <c r="B72" s="812" t="s">
        <v>1583</v>
      </c>
      <c r="C72" s="812"/>
      <c r="D72" s="812"/>
      <c r="E72" s="812"/>
      <c r="F72" s="812"/>
      <c r="G72" s="812"/>
      <c r="H72" s="812"/>
      <c r="I72" s="812"/>
      <c r="J72" s="812"/>
    </row>
  </sheetData>
  <mergeCells count="3">
    <mergeCell ref="N4:T4"/>
    <mergeCell ref="B71:J71"/>
    <mergeCell ref="B72:J72"/>
  </mergeCells>
  <printOptions horizontalCentered="1"/>
  <pageMargins left="1" right="1" top="1" bottom="1" header="0.5" footer="0.5"/>
  <pageSetup scale="49"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41" max="10" man="1"/>
  </rowBreaks>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3F26-43D7-433D-87C3-B8F308C5F4A4}">
  <sheetPr>
    <pageSetUpPr fitToPage="1"/>
  </sheetPr>
  <dimension ref="A1:BH142"/>
  <sheetViews>
    <sheetView tabSelected="1" view="pageBreakPreview" topLeftCell="O88" zoomScale="55" zoomScaleNormal="85" zoomScaleSheetLayoutView="55" zoomScalePageLayoutView="85" workbookViewId="0">
      <selection activeCell="P108" sqref="P108"/>
    </sheetView>
  </sheetViews>
  <sheetFormatPr defaultColWidth="9.1796875" defaultRowHeight="12.5"/>
  <cols>
    <col min="1" max="1" width="7.54296875" style="585" customWidth="1"/>
    <col min="2" max="2" width="41.7265625" style="585" customWidth="1"/>
    <col min="3" max="3" width="27.81640625" style="585" bestFit="1" customWidth="1"/>
    <col min="4" max="4" width="38.81640625" style="585" customWidth="1"/>
    <col min="5" max="5" width="1.7265625" style="585" customWidth="1"/>
    <col min="6" max="6" width="15.81640625" style="585" bestFit="1" customWidth="1"/>
    <col min="7" max="7" width="1.7265625" style="585" customWidth="1"/>
    <col min="8" max="8" width="14.26953125" style="722" bestFit="1" customWidth="1"/>
    <col min="9" max="9" width="1.7265625" style="585" customWidth="1"/>
    <col min="10" max="10" width="19.7265625" style="585" bestFit="1" customWidth="1"/>
    <col min="11" max="11" width="1.7265625" style="585" customWidth="1"/>
    <col min="12" max="12" width="15.81640625" style="585" bestFit="1" customWidth="1"/>
    <col min="13" max="13" width="1.7265625" style="585" customWidth="1"/>
    <col min="14" max="14" width="17.453125" style="585" bestFit="1" customWidth="1"/>
    <col min="15" max="15" width="1.7265625" style="585" customWidth="1"/>
    <col min="16" max="16" width="22.1796875" style="705" customWidth="1"/>
    <col min="17" max="17" width="1.7265625" style="585" customWidth="1"/>
    <col min="18" max="18" width="14.7265625" style="585" bestFit="1" customWidth="1"/>
    <col min="19" max="19" width="1.7265625" style="585" customWidth="1"/>
    <col min="20" max="20" width="14.7265625" style="585" bestFit="1" customWidth="1"/>
    <col min="21" max="21" width="1.7265625" style="585" customWidth="1"/>
    <col min="22" max="22" width="17.7265625" style="585" bestFit="1" customWidth="1"/>
    <col min="23" max="23" width="1.7265625" style="585" customWidth="1"/>
    <col min="24" max="24" width="17.26953125" style="585" customWidth="1"/>
    <col min="25" max="25" width="1.7265625" style="585" customWidth="1"/>
    <col min="26" max="26" width="24.54296875" style="705" bestFit="1" customWidth="1"/>
    <col min="27" max="27" width="1.7265625" style="585" customWidth="1"/>
    <col min="28" max="28" width="17.26953125" style="585" customWidth="1"/>
    <col min="29" max="29" width="1.7265625" style="585" customWidth="1"/>
    <col min="30" max="30" width="17.26953125" style="585" customWidth="1"/>
    <col min="31" max="31" width="1.7265625" style="585" customWidth="1"/>
    <col min="32" max="32" width="17.26953125" style="585" customWidth="1"/>
    <col min="33" max="33" width="1.7265625" style="585" customWidth="1"/>
    <col min="34" max="34" width="21.81640625" style="705" bestFit="1" customWidth="1"/>
    <col min="35" max="35" width="1.7265625" style="585" customWidth="1"/>
    <col min="36" max="36" width="21.81640625" style="585" customWidth="1"/>
    <col min="37" max="37" width="1.7265625" style="585" customWidth="1"/>
    <col min="38" max="38" width="21.81640625" style="585" customWidth="1"/>
    <col min="39" max="39" width="1.7265625" style="585" customWidth="1"/>
    <col min="40" max="40" width="21.81640625" style="585" customWidth="1"/>
    <col min="41" max="41" width="1.7265625" style="585" customWidth="1"/>
    <col min="42" max="42" width="21.81640625" style="585" customWidth="1"/>
    <col min="43" max="43" width="1.7265625" style="585" customWidth="1"/>
    <col min="44" max="44" width="17.26953125" style="585" customWidth="1"/>
    <col min="45" max="45" width="1.7265625" style="585" customWidth="1"/>
    <col min="46" max="46" width="17.26953125" style="585" customWidth="1"/>
    <col min="47" max="47" width="1.7265625" style="585" customWidth="1"/>
    <col min="48" max="48" width="17.26953125" style="585" customWidth="1"/>
    <col min="49" max="49" width="1.7265625" style="585" customWidth="1"/>
    <col min="50" max="50" width="21.81640625" style="585" customWidth="1"/>
    <col min="51" max="51" width="1.7265625" style="585" customWidth="1"/>
    <col min="52" max="52" width="21.81640625" style="585" customWidth="1"/>
    <col min="53" max="53" width="1.7265625" style="585" customWidth="1"/>
    <col min="54" max="54" width="21.81640625" style="585" customWidth="1"/>
    <col min="55" max="55" width="1.7265625" style="585" customWidth="1"/>
    <col min="56" max="56" width="21.81640625" style="585" customWidth="1"/>
    <col min="57" max="57" width="1.7265625" style="585" customWidth="1"/>
    <col min="58" max="58" width="16.54296875" style="705" bestFit="1" customWidth="1"/>
    <col min="59" max="59" width="22.7265625" style="585" bestFit="1" customWidth="1"/>
    <col min="60" max="60" width="8.453125" style="585" customWidth="1"/>
    <col min="61" max="16384" width="9.1796875" style="585"/>
  </cols>
  <sheetData>
    <row r="1" spans="1:60" ht="14.5">
      <c r="B1" s="90" t="s">
        <v>1778</v>
      </c>
      <c r="C1" s="617"/>
      <c r="D1" s="617"/>
      <c r="E1" s="617"/>
      <c r="F1" s="617"/>
      <c r="G1" s="617"/>
      <c r="H1" s="90"/>
      <c r="I1" s="617"/>
      <c r="J1" s="617"/>
      <c r="K1" s="617"/>
      <c r="L1" s="617"/>
      <c r="M1" s="617"/>
      <c r="N1" s="617"/>
      <c r="O1" s="617"/>
      <c r="P1" s="90"/>
      <c r="Q1" s="617"/>
      <c r="R1" s="617"/>
      <c r="S1" s="617"/>
      <c r="T1" s="617"/>
      <c r="U1" s="617"/>
      <c r="V1" s="617"/>
      <c r="W1" s="617"/>
      <c r="X1" s="617"/>
      <c r="Y1" s="617"/>
      <c r="Z1" s="90"/>
      <c r="AA1" s="617"/>
      <c r="AB1" s="617"/>
      <c r="AC1" s="617"/>
      <c r="AD1" s="617"/>
      <c r="AE1" s="617"/>
      <c r="AF1" s="617"/>
      <c r="AG1" s="617"/>
      <c r="AH1" s="90"/>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90"/>
      <c r="BG1" s="15" t="str">
        <f>CONCATENATE("Prior Year: ",'1-BaseTRR'!$F$2)</f>
        <v>Prior Year: 2022</v>
      </c>
    </row>
    <row r="2" spans="1:60" ht="14.5">
      <c r="A2" s="617"/>
      <c r="B2" s="618" t="s">
        <v>196</v>
      </c>
      <c r="C2" s="618"/>
      <c r="D2" s="617"/>
      <c r="E2" s="617"/>
      <c r="F2" s="617"/>
      <c r="G2" s="617"/>
      <c r="H2" s="90"/>
      <c r="I2" s="617"/>
      <c r="J2" s="617"/>
      <c r="K2" s="617"/>
      <c r="L2" s="617"/>
      <c r="M2" s="617"/>
      <c r="N2" s="617"/>
      <c r="O2" s="617"/>
      <c r="P2" s="90"/>
      <c r="Q2" s="617"/>
      <c r="R2" s="617"/>
      <c r="S2" s="617"/>
      <c r="T2" s="617"/>
      <c r="U2" s="617"/>
      <c r="V2" s="617"/>
      <c r="W2" s="617"/>
      <c r="X2" s="617"/>
      <c r="Y2" s="617"/>
      <c r="Z2" s="90"/>
      <c r="AA2" s="617"/>
      <c r="AB2" s="617"/>
      <c r="AC2" s="617"/>
      <c r="AD2" s="617"/>
      <c r="AE2" s="617"/>
      <c r="AF2" s="617"/>
      <c r="AG2" s="617"/>
      <c r="AH2" s="90"/>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90"/>
      <c r="BG2" s="617"/>
    </row>
    <row r="3" spans="1:60" ht="14.5">
      <c r="A3" s="586"/>
      <c r="B3" s="586"/>
      <c r="C3" s="586"/>
      <c r="D3" s="586"/>
      <c r="E3" s="586"/>
      <c r="F3" s="586"/>
      <c r="G3" s="586"/>
      <c r="H3" s="76"/>
      <c r="I3" s="586"/>
      <c r="J3" s="586"/>
      <c r="K3" s="586"/>
      <c r="L3" s="586"/>
      <c r="M3" s="586"/>
      <c r="N3" s="586"/>
      <c r="O3" s="586"/>
      <c r="P3" s="76"/>
      <c r="Q3" s="586"/>
      <c r="R3" s="586"/>
      <c r="S3" s="586"/>
      <c r="T3" s="586"/>
      <c r="U3" s="586"/>
      <c r="V3" s="586"/>
      <c r="W3" s="586"/>
      <c r="X3" s="586"/>
      <c r="Y3" s="586"/>
      <c r="Z3" s="76"/>
      <c r="AA3" s="586"/>
      <c r="AB3" s="586"/>
      <c r="AC3" s="586"/>
      <c r="AD3" s="586"/>
      <c r="AE3" s="586"/>
      <c r="AF3" s="586"/>
      <c r="AG3" s="586"/>
      <c r="AH3" s="7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76"/>
      <c r="BG3" s="586"/>
    </row>
    <row r="4" spans="1:60" ht="13">
      <c r="J4" s="832" t="s">
        <v>1531</v>
      </c>
      <c r="K4" s="832"/>
      <c r="L4" s="832"/>
      <c r="M4" s="832"/>
      <c r="N4" s="832"/>
      <c r="O4" s="587"/>
      <c r="P4" s="711" t="s">
        <v>1532</v>
      </c>
      <c r="R4" s="832" t="s">
        <v>1533</v>
      </c>
      <c r="S4" s="832"/>
      <c r="T4" s="832"/>
      <c r="U4" s="832"/>
      <c r="V4" s="832"/>
      <c r="Z4" s="716" t="s">
        <v>1534</v>
      </c>
      <c r="AH4" s="711" t="s">
        <v>1535</v>
      </c>
      <c r="AI4" s="587"/>
      <c r="AJ4" s="832" t="s">
        <v>1533</v>
      </c>
      <c r="AK4" s="832"/>
      <c r="AL4" s="832"/>
      <c r="AM4" s="832"/>
      <c r="AN4" s="832"/>
      <c r="AO4" s="587"/>
      <c r="AP4" s="587"/>
      <c r="AX4" s="832" t="s">
        <v>1533</v>
      </c>
      <c r="AY4" s="832"/>
      <c r="AZ4" s="832"/>
      <c r="BA4" s="832"/>
      <c r="BB4" s="832"/>
      <c r="BC4" s="587"/>
      <c r="BD4" s="587"/>
      <c r="BF4" s="718"/>
    </row>
    <row r="5" spans="1:60" ht="14.5">
      <c r="A5" s="588"/>
      <c r="B5" s="588"/>
      <c r="C5" s="588"/>
      <c r="D5" s="588"/>
      <c r="E5" s="588"/>
      <c r="F5" s="706"/>
      <c r="G5" s="702"/>
      <c r="H5" s="589" t="s">
        <v>1755</v>
      </c>
      <c r="I5" s="588"/>
      <c r="J5" s="589" t="s">
        <v>100</v>
      </c>
      <c r="K5" s="589"/>
      <c r="L5" s="589" t="s">
        <v>101</v>
      </c>
      <c r="M5" s="589"/>
      <c r="N5" s="589" t="s">
        <v>102</v>
      </c>
      <c r="O5" s="589"/>
      <c r="P5" s="589" t="s">
        <v>103</v>
      </c>
      <c r="Q5" s="589"/>
      <c r="R5" s="589" t="s">
        <v>104</v>
      </c>
      <c r="S5" s="589"/>
      <c r="T5" s="589" t="s">
        <v>105</v>
      </c>
      <c r="U5" s="589"/>
      <c r="V5" s="589" t="s">
        <v>106</v>
      </c>
      <c r="W5" s="589"/>
      <c r="X5" s="589" t="s">
        <v>107</v>
      </c>
      <c r="Y5" s="589"/>
      <c r="Z5" s="589" t="s">
        <v>108</v>
      </c>
      <c r="AA5" s="590"/>
      <c r="AB5" s="590" t="s">
        <v>271</v>
      </c>
      <c r="AC5" s="590"/>
      <c r="AD5" s="590" t="s">
        <v>272</v>
      </c>
      <c r="AE5" s="590"/>
      <c r="AF5" s="590" t="s">
        <v>273</v>
      </c>
      <c r="AG5" s="590"/>
      <c r="AH5" s="717" t="s">
        <v>274</v>
      </c>
      <c r="AI5" s="590"/>
      <c r="AJ5" s="590" t="s">
        <v>275</v>
      </c>
      <c r="AK5" s="590"/>
      <c r="AL5" s="590" t="s">
        <v>753</v>
      </c>
      <c r="AM5" s="590"/>
      <c r="AN5" s="590" t="s">
        <v>1536</v>
      </c>
      <c r="AO5" s="590"/>
      <c r="AP5" s="590" t="s">
        <v>1537</v>
      </c>
      <c r="AQ5" s="590"/>
      <c r="AR5" s="590" t="s">
        <v>1597</v>
      </c>
      <c r="AS5" s="590"/>
      <c r="AT5" s="590" t="s">
        <v>1598</v>
      </c>
      <c r="AU5" s="590"/>
      <c r="AV5" s="590" t="s">
        <v>1599</v>
      </c>
      <c r="AW5" s="590"/>
      <c r="AX5" s="590" t="s">
        <v>1601</v>
      </c>
      <c r="AY5" s="590"/>
      <c r="AZ5" s="590" t="s">
        <v>1602</v>
      </c>
      <c r="BA5" s="590"/>
      <c r="BB5" s="590" t="s">
        <v>1603</v>
      </c>
      <c r="BC5" s="590"/>
      <c r="BD5" s="590" t="s">
        <v>1604</v>
      </c>
      <c r="BE5" s="590"/>
      <c r="BF5" s="589" t="s">
        <v>1774</v>
      </c>
      <c r="BG5" s="588"/>
      <c r="BH5" s="588"/>
    </row>
    <row r="6" spans="1:60" ht="28.5" customHeight="1">
      <c r="A6" s="588"/>
      <c r="B6" s="588"/>
      <c r="C6" s="588"/>
      <c r="D6" s="588"/>
      <c r="E6" s="588"/>
      <c r="F6" s="706"/>
      <c r="G6" s="702"/>
      <c r="H6" s="590"/>
      <c r="I6" s="588"/>
      <c r="J6" s="590"/>
      <c r="K6" s="590"/>
      <c r="L6" s="590"/>
      <c r="M6" s="590"/>
      <c r="N6" s="590" t="s">
        <v>877</v>
      </c>
      <c r="O6" s="590"/>
      <c r="P6" s="590"/>
      <c r="Q6" s="590"/>
      <c r="R6" s="589"/>
      <c r="S6" s="589"/>
      <c r="T6" s="589"/>
      <c r="U6" s="589"/>
      <c r="V6" s="589"/>
      <c r="W6" s="589"/>
      <c r="X6" s="589" t="s">
        <v>1588</v>
      </c>
      <c r="Y6" s="590"/>
      <c r="Z6" s="590"/>
      <c r="AA6" s="590"/>
      <c r="AB6" s="834" t="s">
        <v>1595</v>
      </c>
      <c r="AC6" s="834"/>
      <c r="AD6" s="834"/>
      <c r="AE6" s="834"/>
      <c r="AF6" s="834"/>
      <c r="AG6" s="590"/>
      <c r="AH6" s="590"/>
      <c r="AI6" s="590"/>
      <c r="AJ6" s="590" t="s">
        <v>1587</v>
      </c>
      <c r="AK6" s="590"/>
      <c r="AL6" s="590" t="s">
        <v>1589</v>
      </c>
      <c r="AM6" s="590"/>
      <c r="AN6" s="590" t="s">
        <v>1590</v>
      </c>
      <c r="AO6" s="590"/>
      <c r="AP6" s="590" t="s">
        <v>1591</v>
      </c>
      <c r="AQ6" s="590"/>
      <c r="AR6" s="834" t="s">
        <v>1600</v>
      </c>
      <c r="AS6" s="834"/>
      <c r="AT6" s="834"/>
      <c r="AU6" s="834"/>
      <c r="AV6" s="834"/>
      <c r="AW6" s="590"/>
      <c r="AX6" s="590" t="s">
        <v>1606</v>
      </c>
      <c r="AY6" s="590"/>
      <c r="AZ6" s="590" t="s">
        <v>1607</v>
      </c>
      <c r="BA6" s="590"/>
      <c r="BB6" s="590" t="s">
        <v>1608</v>
      </c>
      <c r="BC6" s="590"/>
      <c r="BD6" s="590" t="s">
        <v>1609</v>
      </c>
      <c r="BE6" s="590"/>
      <c r="BF6" s="709" t="s">
        <v>1775</v>
      </c>
      <c r="BG6" s="588"/>
      <c r="BH6" s="588"/>
    </row>
    <row r="7" spans="1:60" ht="29">
      <c r="B7" s="591"/>
      <c r="C7" s="591"/>
      <c r="D7" s="591"/>
      <c r="E7" s="591"/>
      <c r="F7" s="593" t="s">
        <v>1756</v>
      </c>
      <c r="G7" s="591"/>
      <c r="H7" s="592" t="s">
        <v>1757</v>
      </c>
      <c r="I7" s="591"/>
      <c r="J7" s="592" t="s">
        <v>1538</v>
      </c>
      <c r="K7" s="591"/>
      <c r="L7" s="592" t="s">
        <v>1539</v>
      </c>
      <c r="M7" s="591"/>
      <c r="N7" s="709" t="s">
        <v>1761</v>
      </c>
      <c r="O7" s="593"/>
      <c r="P7" s="593" t="s">
        <v>330</v>
      </c>
      <c r="Q7" s="591"/>
      <c r="R7" s="833" t="s">
        <v>1541</v>
      </c>
      <c r="S7" s="833"/>
      <c r="T7" s="833"/>
      <c r="U7" s="833"/>
      <c r="V7" s="833"/>
      <c r="W7" s="833"/>
      <c r="X7" s="833"/>
      <c r="Y7" s="592"/>
      <c r="Z7" s="592"/>
      <c r="AA7" s="592"/>
      <c r="AB7" s="592" t="s">
        <v>208</v>
      </c>
      <c r="AC7" s="592"/>
      <c r="AD7" s="592" t="s">
        <v>208</v>
      </c>
      <c r="AE7" s="592"/>
      <c r="AF7" s="592" t="s">
        <v>208</v>
      </c>
      <c r="AG7" s="592"/>
      <c r="AH7" s="592" t="s">
        <v>330</v>
      </c>
      <c r="AI7" s="592"/>
      <c r="AJ7" s="833" t="s">
        <v>1596</v>
      </c>
      <c r="AK7" s="833"/>
      <c r="AL7" s="833"/>
      <c r="AM7" s="833"/>
      <c r="AN7" s="833"/>
      <c r="AO7" s="833"/>
      <c r="AP7" s="833"/>
      <c r="AQ7" s="592"/>
      <c r="AR7" s="592" t="s">
        <v>208</v>
      </c>
      <c r="AS7" s="592"/>
      <c r="AT7" s="592" t="s">
        <v>208</v>
      </c>
      <c r="AU7" s="592"/>
      <c r="AV7" s="592" t="s">
        <v>208</v>
      </c>
      <c r="AW7" s="592"/>
      <c r="AX7" s="833" t="s">
        <v>1605</v>
      </c>
      <c r="AY7" s="833"/>
      <c r="AZ7" s="833"/>
      <c r="BA7" s="833"/>
      <c r="BB7" s="833"/>
      <c r="BC7" s="833"/>
      <c r="BD7" s="833"/>
      <c r="BE7" s="592"/>
      <c r="BF7" s="709" t="s">
        <v>1761</v>
      </c>
      <c r="BG7" s="591"/>
    </row>
    <row r="8" spans="1:60" ht="12.75" customHeight="1">
      <c r="B8" s="591"/>
      <c r="C8" s="591"/>
      <c r="D8" s="591"/>
      <c r="E8" s="591"/>
      <c r="F8" s="593" t="s">
        <v>1758</v>
      </c>
      <c r="G8" s="591"/>
      <c r="H8" s="592" t="s">
        <v>1759</v>
      </c>
      <c r="I8" s="591"/>
      <c r="J8" s="592" t="s">
        <v>1542</v>
      </c>
      <c r="K8" s="591"/>
      <c r="L8" s="592" t="s">
        <v>1543</v>
      </c>
      <c r="M8" s="591"/>
      <c r="N8" s="593" t="s">
        <v>1747</v>
      </c>
      <c r="O8" s="593"/>
      <c r="P8" s="593" t="s">
        <v>1540</v>
      </c>
      <c r="Q8" s="591"/>
      <c r="R8" s="592" t="s">
        <v>1544</v>
      </c>
      <c r="S8" s="592"/>
      <c r="T8" s="592" t="s">
        <v>1544</v>
      </c>
      <c r="U8" s="592"/>
      <c r="V8" s="592" t="s">
        <v>1544</v>
      </c>
      <c r="W8" s="592"/>
      <c r="X8" s="592"/>
      <c r="Y8" s="592"/>
      <c r="Z8" s="592" t="s">
        <v>208</v>
      </c>
      <c r="AA8" s="592"/>
      <c r="AB8" s="592" t="s">
        <v>874</v>
      </c>
      <c r="AC8" s="592"/>
      <c r="AD8" s="592" t="s">
        <v>874</v>
      </c>
      <c r="AE8" s="592"/>
      <c r="AF8" s="592" t="s">
        <v>874</v>
      </c>
      <c r="AG8" s="592"/>
      <c r="AH8" s="592" t="s">
        <v>1545</v>
      </c>
      <c r="AI8" s="592"/>
      <c r="AJ8" s="592" t="s">
        <v>1546</v>
      </c>
      <c r="AK8" s="592"/>
      <c r="AL8" s="592" t="s">
        <v>1546</v>
      </c>
      <c r="AM8" s="592"/>
      <c r="AN8" s="592" t="s">
        <v>1546</v>
      </c>
      <c r="AO8" s="592"/>
      <c r="AP8" s="592"/>
      <c r="AQ8" s="592"/>
      <c r="AR8" s="592" t="s">
        <v>874</v>
      </c>
      <c r="AS8" s="592"/>
      <c r="AT8" s="592" t="s">
        <v>874</v>
      </c>
      <c r="AU8" s="592"/>
      <c r="AV8" s="592" t="s">
        <v>874</v>
      </c>
      <c r="AW8" s="592"/>
      <c r="AX8" s="592" t="s">
        <v>1546</v>
      </c>
      <c r="AY8" s="592"/>
      <c r="AZ8" s="592" t="s">
        <v>1546</v>
      </c>
      <c r="BA8" s="592"/>
      <c r="BB8" s="592" t="s">
        <v>1546</v>
      </c>
      <c r="BC8" s="592"/>
      <c r="BD8" s="592"/>
      <c r="BE8" s="592"/>
      <c r="BF8" s="719" t="s">
        <v>1776</v>
      </c>
      <c r="BG8" s="591"/>
    </row>
    <row r="9" spans="1:60" ht="14.5">
      <c r="A9" s="590"/>
      <c r="B9" s="588"/>
      <c r="C9" s="588"/>
      <c r="D9" s="588"/>
      <c r="E9" s="588"/>
      <c r="F9" s="593" t="s">
        <v>1549</v>
      </c>
      <c r="G9" s="702"/>
      <c r="H9" s="592" t="s">
        <v>1760</v>
      </c>
      <c r="I9" s="588"/>
      <c r="J9" s="594" t="s">
        <v>1547</v>
      </c>
      <c r="K9" s="588"/>
      <c r="L9" s="594" t="s">
        <v>1548</v>
      </c>
      <c r="M9" s="588"/>
      <c r="N9" s="595" t="s">
        <v>143</v>
      </c>
      <c r="O9" s="595"/>
      <c r="P9" s="706" t="s">
        <v>1549</v>
      </c>
      <c r="Q9" s="588"/>
      <c r="R9" s="592" t="s">
        <v>1550</v>
      </c>
      <c r="S9" s="592"/>
      <c r="T9" s="590" t="s">
        <v>1551</v>
      </c>
      <c r="U9" s="590"/>
      <c r="V9" s="596" t="s">
        <v>1551</v>
      </c>
      <c r="W9" s="596"/>
      <c r="X9" s="596" t="s">
        <v>1544</v>
      </c>
      <c r="Y9" s="596"/>
      <c r="Z9" s="596" t="s">
        <v>1552</v>
      </c>
      <c r="AA9" s="596"/>
      <c r="AB9" s="592" t="s">
        <v>1550</v>
      </c>
      <c r="AC9" s="592"/>
      <c r="AD9" s="590" t="s">
        <v>1551</v>
      </c>
      <c r="AE9" s="590"/>
      <c r="AF9" s="596" t="s">
        <v>1551</v>
      </c>
      <c r="AG9" s="596"/>
      <c r="AH9" s="596" t="s">
        <v>1553</v>
      </c>
      <c r="AI9" s="596"/>
      <c r="AJ9" s="592" t="s">
        <v>1550</v>
      </c>
      <c r="AK9" s="592"/>
      <c r="AL9" s="590" t="s">
        <v>1551</v>
      </c>
      <c r="AM9" s="590"/>
      <c r="AN9" s="596" t="s">
        <v>1551</v>
      </c>
      <c r="AO9" s="596"/>
      <c r="AP9" s="596" t="s">
        <v>1546</v>
      </c>
      <c r="AQ9" s="596"/>
      <c r="AR9" s="592" t="s">
        <v>1550</v>
      </c>
      <c r="AS9" s="592"/>
      <c r="AT9" s="590" t="s">
        <v>1551</v>
      </c>
      <c r="AU9" s="590"/>
      <c r="AV9" s="596" t="s">
        <v>1551</v>
      </c>
      <c r="AW9" s="596"/>
      <c r="AX9" s="592" t="s">
        <v>1550</v>
      </c>
      <c r="AY9" s="592"/>
      <c r="AZ9" s="590" t="s">
        <v>1551</v>
      </c>
      <c r="BA9" s="590"/>
      <c r="BB9" s="596" t="s">
        <v>1551</v>
      </c>
      <c r="BC9" s="596"/>
      <c r="BD9" s="596" t="s">
        <v>1546</v>
      </c>
      <c r="BE9" s="596"/>
      <c r="BF9" s="720">
        <f>1/(1-(0.21+0.0884-(0.21*0.0884)))</f>
        <v>1.3885726029071155</v>
      </c>
      <c r="BG9" s="590"/>
      <c r="BH9" s="590"/>
    </row>
    <row r="10" spans="1:60" ht="15" thickBot="1">
      <c r="A10" s="323" t="s">
        <v>124</v>
      </c>
      <c r="B10" s="597" t="s">
        <v>627</v>
      </c>
      <c r="C10" s="597"/>
      <c r="D10" s="597"/>
      <c r="E10" s="597"/>
      <c r="F10" s="602" t="s">
        <v>612</v>
      </c>
      <c r="G10" s="707"/>
      <c r="H10" s="708">
        <v>43100</v>
      </c>
      <c r="I10" s="597"/>
      <c r="J10" s="598">
        <v>43100</v>
      </c>
      <c r="K10" s="597"/>
      <c r="L10" s="598">
        <v>43100</v>
      </c>
      <c r="M10" s="597"/>
      <c r="N10" s="598">
        <v>43100</v>
      </c>
      <c r="O10" s="598"/>
      <c r="P10" s="708" t="s">
        <v>1554</v>
      </c>
      <c r="Q10" s="597"/>
      <c r="R10" s="599" t="s">
        <v>1555</v>
      </c>
      <c r="S10" s="599"/>
      <c r="T10" s="600" t="s">
        <v>1555</v>
      </c>
      <c r="U10" s="600"/>
      <c r="V10" s="601" t="s">
        <v>1556</v>
      </c>
      <c r="W10" s="601"/>
      <c r="X10" s="601" t="s">
        <v>1557</v>
      </c>
      <c r="Y10" s="601"/>
      <c r="Z10" s="601" t="s">
        <v>1769</v>
      </c>
      <c r="AA10" s="601"/>
      <c r="AB10" s="599" t="s">
        <v>1555</v>
      </c>
      <c r="AC10" s="599"/>
      <c r="AD10" s="600" t="s">
        <v>1555</v>
      </c>
      <c r="AE10" s="600"/>
      <c r="AF10" s="601" t="s">
        <v>1556</v>
      </c>
      <c r="AG10" s="601"/>
      <c r="AH10" s="601" t="s">
        <v>1558</v>
      </c>
      <c r="AI10" s="601"/>
      <c r="AJ10" s="599" t="s">
        <v>1555</v>
      </c>
      <c r="AK10" s="599"/>
      <c r="AL10" s="600" t="s">
        <v>1555</v>
      </c>
      <c r="AM10" s="600"/>
      <c r="AN10" s="601" t="s">
        <v>1556</v>
      </c>
      <c r="AO10" s="601"/>
      <c r="AP10" s="601" t="s">
        <v>1557</v>
      </c>
      <c r="AQ10" s="601"/>
      <c r="AR10" s="599" t="s">
        <v>1555</v>
      </c>
      <c r="AS10" s="599"/>
      <c r="AT10" s="600" t="s">
        <v>1555</v>
      </c>
      <c r="AU10" s="600"/>
      <c r="AV10" s="601" t="s">
        <v>1556</v>
      </c>
      <c r="AW10" s="601"/>
      <c r="AX10" s="599" t="s">
        <v>1555</v>
      </c>
      <c r="AY10" s="599"/>
      <c r="AZ10" s="600" t="s">
        <v>1555</v>
      </c>
      <c r="BA10" s="600"/>
      <c r="BB10" s="601" t="s">
        <v>1556</v>
      </c>
      <c r="BC10" s="601"/>
      <c r="BD10" s="601" t="s">
        <v>1557</v>
      </c>
      <c r="BE10" s="601"/>
      <c r="BF10" s="708"/>
      <c r="BG10" s="602" t="s">
        <v>301</v>
      </c>
      <c r="BH10" s="616" t="s">
        <v>124</v>
      </c>
    </row>
    <row r="11" spans="1:60" ht="14.5">
      <c r="A11" s="590"/>
      <c r="B11" s="588"/>
      <c r="C11" s="588"/>
      <c r="D11" s="588"/>
      <c r="E11" s="588"/>
      <c r="F11" s="706"/>
      <c r="G11" s="588"/>
      <c r="H11" s="702"/>
      <c r="I11" s="588"/>
      <c r="J11" s="588"/>
      <c r="K11" s="588"/>
      <c r="L11" s="588"/>
      <c r="M11" s="588"/>
      <c r="N11" s="588"/>
      <c r="O11" s="588"/>
      <c r="P11" s="702"/>
      <c r="Q11" s="588"/>
      <c r="R11" s="592"/>
      <c r="S11" s="592"/>
      <c r="T11" s="603"/>
      <c r="U11" s="603"/>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G11" s="590"/>
      <c r="BH11" s="590"/>
    </row>
    <row r="12" spans="1:60" ht="14.5">
      <c r="A12" s="590">
        <v>100</v>
      </c>
      <c r="B12" s="588" t="s">
        <v>1559</v>
      </c>
      <c r="C12" s="588"/>
      <c r="D12" s="702" t="s">
        <v>1736</v>
      </c>
      <c r="E12" s="588"/>
      <c r="F12" s="706" t="s">
        <v>1766</v>
      </c>
      <c r="G12" s="588"/>
      <c r="H12" s="605">
        <f>+H26</f>
        <v>0</v>
      </c>
      <c r="I12" s="588"/>
      <c r="J12" s="605">
        <f>+J26</f>
        <v>-1695727972</v>
      </c>
      <c r="K12" s="588"/>
      <c r="L12" s="605">
        <f>+L26</f>
        <v>-1087798598</v>
      </c>
      <c r="M12" s="588"/>
      <c r="N12" s="605">
        <f>+N26</f>
        <v>-607929374</v>
      </c>
      <c r="O12" s="588"/>
      <c r="P12" s="706" t="s">
        <v>1762</v>
      </c>
      <c r="Q12" s="588"/>
      <c r="R12" s="605">
        <f>R26</f>
        <v>-607929374</v>
      </c>
      <c r="S12" s="605"/>
      <c r="T12" s="605">
        <f>T26</f>
        <v>0</v>
      </c>
      <c r="U12" s="605"/>
      <c r="V12" s="605">
        <f>V26</f>
        <v>0</v>
      </c>
      <c r="W12" s="605"/>
      <c r="X12" s="605">
        <f>SUM(R12:V12)</f>
        <v>-607929374</v>
      </c>
      <c r="Y12" s="605"/>
      <c r="Z12" s="607" t="s">
        <v>1560</v>
      </c>
      <c r="AA12" s="605"/>
      <c r="AB12" s="605">
        <f>AB26</f>
        <v>-39885536.743633352</v>
      </c>
      <c r="AC12" s="605"/>
      <c r="AD12" s="605">
        <f>AD26</f>
        <v>0</v>
      </c>
      <c r="AE12" s="605"/>
      <c r="AF12" s="605">
        <f>AF26</f>
        <v>0</v>
      </c>
      <c r="AG12" s="605"/>
      <c r="AH12" s="706" t="s">
        <v>1772</v>
      </c>
      <c r="AI12" s="605"/>
      <c r="AJ12" s="605">
        <f>AJ26</f>
        <v>-568043837.16833913</v>
      </c>
      <c r="AK12" s="605"/>
      <c r="AL12" s="605">
        <f>AL26</f>
        <v>0</v>
      </c>
      <c r="AM12" s="605"/>
      <c r="AN12" s="605">
        <f>AN26</f>
        <v>0</v>
      </c>
      <c r="AO12" s="605"/>
      <c r="AP12" s="605">
        <f>SUM(AJ12:AN12)</f>
        <v>-568043837.16833913</v>
      </c>
      <c r="AQ12" s="605"/>
      <c r="AR12" s="605">
        <f>AR26</f>
        <v>-8365627.4873481328</v>
      </c>
      <c r="AS12" s="605"/>
      <c r="AT12" s="605">
        <f>AT26</f>
        <v>0</v>
      </c>
      <c r="AU12" s="605"/>
      <c r="AV12" s="605">
        <f>AV26</f>
        <v>0</v>
      </c>
      <c r="AW12" s="605"/>
      <c r="AX12" s="605">
        <f>AX26</f>
        <v>-559678209.68099093</v>
      </c>
      <c r="AY12" s="605"/>
      <c r="AZ12" s="605">
        <f>AZ26</f>
        <v>0</v>
      </c>
      <c r="BA12" s="605"/>
      <c r="BB12" s="605">
        <f>BB26</f>
        <v>0</v>
      </c>
      <c r="BC12" s="605"/>
      <c r="BD12" s="605">
        <f>SUM(AX12:BB12)</f>
        <v>-559678209.68099093</v>
      </c>
      <c r="BE12" s="605"/>
      <c r="BF12" s="605">
        <f>+BF26</f>
        <v>-777153828</v>
      </c>
      <c r="BG12" s="590"/>
      <c r="BH12" s="590">
        <f t="shared" ref="BH12:BH17" si="0">A12</f>
        <v>100</v>
      </c>
    </row>
    <row r="13" spans="1:60" ht="14.5">
      <c r="A13" s="590">
        <f>+A12+1</f>
        <v>101</v>
      </c>
      <c r="B13" s="588" t="s">
        <v>401</v>
      </c>
      <c r="C13" s="588"/>
      <c r="D13" s="702" t="s">
        <v>1737</v>
      </c>
      <c r="E13" s="588"/>
      <c r="F13" s="706" t="s">
        <v>1766</v>
      </c>
      <c r="G13" s="588"/>
      <c r="H13" s="605">
        <f>+H34</f>
        <v>0</v>
      </c>
      <c r="I13" s="588"/>
      <c r="J13" s="605">
        <f>+J34</f>
        <v>0</v>
      </c>
      <c r="K13" s="588"/>
      <c r="L13" s="605">
        <f>+L34</f>
        <v>0</v>
      </c>
      <c r="M13" s="588"/>
      <c r="N13" s="605">
        <f>+N34</f>
        <v>0</v>
      </c>
      <c r="O13" s="588"/>
      <c r="P13" s="706" t="s">
        <v>1762</v>
      </c>
      <c r="Q13" s="588"/>
      <c r="R13" s="605">
        <f>R34</f>
        <v>0</v>
      </c>
      <c r="S13" s="605"/>
      <c r="T13" s="605">
        <f>T34</f>
        <v>0</v>
      </c>
      <c r="U13" s="605"/>
      <c r="V13" s="605">
        <f>V34</f>
        <v>0</v>
      </c>
      <c r="W13" s="605"/>
      <c r="X13" s="605">
        <f t="shared" ref="X13:X16" si="1">SUM(R13:V13)</f>
        <v>0</v>
      </c>
      <c r="Y13" s="605"/>
      <c r="Z13" s="607" t="s">
        <v>1560</v>
      </c>
      <c r="AA13" s="605"/>
      <c r="AB13" s="605">
        <f>AB34</f>
        <v>0</v>
      </c>
      <c r="AC13" s="605"/>
      <c r="AD13" s="605">
        <f>AD34</f>
        <v>0</v>
      </c>
      <c r="AE13" s="605"/>
      <c r="AF13" s="605">
        <f>AF34</f>
        <v>0</v>
      </c>
      <c r="AG13" s="605"/>
      <c r="AH13" s="706" t="s">
        <v>1772</v>
      </c>
      <c r="AI13" s="605"/>
      <c r="AJ13" s="605">
        <f>AJ34</f>
        <v>0</v>
      </c>
      <c r="AK13" s="605"/>
      <c r="AL13" s="605">
        <f>AL34</f>
        <v>0</v>
      </c>
      <c r="AM13" s="605"/>
      <c r="AN13" s="605">
        <f>AN34</f>
        <v>0</v>
      </c>
      <c r="AO13" s="605"/>
      <c r="AP13" s="605">
        <f t="shared" ref="AP13:AP16" si="2">SUM(AJ13:AN13)</f>
        <v>0</v>
      </c>
      <c r="AQ13" s="605"/>
      <c r="AR13" s="605">
        <f>AR34</f>
        <v>0</v>
      </c>
      <c r="AS13" s="605"/>
      <c r="AT13" s="605">
        <f>AT34</f>
        <v>0</v>
      </c>
      <c r="AU13" s="605"/>
      <c r="AV13" s="605">
        <f>AV34</f>
        <v>0</v>
      </c>
      <c r="AW13" s="605"/>
      <c r="AX13" s="605">
        <f>AX34</f>
        <v>0</v>
      </c>
      <c r="AY13" s="605"/>
      <c r="AZ13" s="605">
        <f>AZ34</f>
        <v>0</v>
      </c>
      <c r="BA13" s="605"/>
      <c r="BB13" s="605">
        <f>BB34</f>
        <v>0</v>
      </c>
      <c r="BC13" s="605"/>
      <c r="BD13" s="605">
        <f t="shared" ref="BD13:BD16" si="3">SUM(AX13:BB13)</f>
        <v>0</v>
      </c>
      <c r="BE13" s="605"/>
      <c r="BF13" s="605">
        <f>+BF34</f>
        <v>0</v>
      </c>
      <c r="BG13" s="590"/>
      <c r="BH13" s="590">
        <f t="shared" si="0"/>
        <v>101</v>
      </c>
    </row>
    <row r="14" spans="1:60" ht="14.5">
      <c r="A14" s="590">
        <f t="shared" ref="A14:A15" si="4">+A13+1</f>
        <v>102</v>
      </c>
      <c r="B14" s="588" t="s">
        <v>1561</v>
      </c>
      <c r="C14" s="588"/>
      <c r="D14" s="702" t="s">
        <v>1738</v>
      </c>
      <c r="E14" s="588"/>
      <c r="F14" s="706" t="s">
        <v>1766</v>
      </c>
      <c r="G14" s="588"/>
      <c r="H14" s="605">
        <f>+H42</f>
        <v>0</v>
      </c>
      <c r="I14" s="588"/>
      <c r="J14" s="605">
        <f>+J42</f>
        <v>-346763385</v>
      </c>
      <c r="K14" s="588"/>
      <c r="L14" s="605">
        <f>+L42</f>
        <v>-206675379</v>
      </c>
      <c r="M14" s="588"/>
      <c r="N14" s="605">
        <f>+N42</f>
        <v>-140088006</v>
      </c>
      <c r="O14" s="588"/>
      <c r="P14" s="706" t="s">
        <v>1762</v>
      </c>
      <c r="Q14" s="588"/>
      <c r="R14" s="605">
        <f>R42</f>
        <v>0</v>
      </c>
      <c r="S14" s="605"/>
      <c r="T14" s="605">
        <f>T42</f>
        <v>-140088006</v>
      </c>
      <c r="U14" s="605"/>
      <c r="V14" s="605">
        <f>V42</f>
        <v>0</v>
      </c>
      <c r="W14" s="605"/>
      <c r="X14" s="605">
        <f t="shared" si="1"/>
        <v>-140088006</v>
      </c>
      <c r="Y14" s="605"/>
      <c r="Z14" s="607" t="s">
        <v>1770</v>
      </c>
      <c r="AA14" s="605"/>
      <c r="AB14" s="605">
        <f>AB42</f>
        <v>0</v>
      </c>
      <c r="AC14" s="605"/>
      <c r="AD14" s="605">
        <f>AD42</f>
        <v>-49569502.895844482</v>
      </c>
      <c r="AE14" s="605"/>
      <c r="AF14" s="605">
        <f>AF42</f>
        <v>0</v>
      </c>
      <c r="AG14" s="605"/>
      <c r="AH14" s="706" t="s">
        <v>1772</v>
      </c>
      <c r="AI14" s="605"/>
      <c r="AJ14" s="605">
        <f>AJ42</f>
        <v>0</v>
      </c>
      <c r="AK14" s="605"/>
      <c r="AL14" s="605">
        <f>AL42</f>
        <v>-90518503.125225246</v>
      </c>
      <c r="AM14" s="605"/>
      <c r="AN14" s="605">
        <f>AN42</f>
        <v>0</v>
      </c>
      <c r="AO14" s="605"/>
      <c r="AP14" s="605">
        <f t="shared" si="2"/>
        <v>-90518503.125225246</v>
      </c>
      <c r="AQ14" s="605"/>
      <c r="AR14" s="605">
        <f>AR42</f>
        <v>0</v>
      </c>
      <c r="AS14" s="605"/>
      <c r="AT14" s="605">
        <f>AT42</f>
        <v>-14324173.144193165</v>
      </c>
      <c r="AU14" s="605"/>
      <c r="AV14" s="605">
        <f>AV42</f>
        <v>0</v>
      </c>
      <c r="AW14" s="605"/>
      <c r="AX14" s="605">
        <f>AX42</f>
        <v>0</v>
      </c>
      <c r="AY14" s="605"/>
      <c r="AZ14" s="605">
        <f>AZ42</f>
        <v>-76194329.981032103</v>
      </c>
      <c r="BA14" s="605"/>
      <c r="BB14" s="605">
        <f>BB42</f>
        <v>0</v>
      </c>
      <c r="BC14" s="605"/>
      <c r="BD14" s="605">
        <f t="shared" si="3"/>
        <v>-76194329.981032103</v>
      </c>
      <c r="BE14" s="605"/>
      <c r="BF14" s="605">
        <f>+BF42</f>
        <v>-105801359</v>
      </c>
      <c r="BG14" s="590"/>
      <c r="BH14" s="590">
        <f t="shared" si="0"/>
        <v>102</v>
      </c>
    </row>
    <row r="15" spans="1:60" ht="14.5">
      <c r="A15" s="590">
        <f t="shared" si="4"/>
        <v>103</v>
      </c>
      <c r="B15" s="588" t="s">
        <v>1562</v>
      </c>
      <c r="C15" s="588"/>
      <c r="D15" s="702" t="s">
        <v>1739</v>
      </c>
      <c r="E15" s="588"/>
      <c r="F15" s="706" t="s">
        <v>1767</v>
      </c>
      <c r="G15" s="588"/>
      <c r="H15" s="605">
        <f>+H102</f>
        <v>0</v>
      </c>
      <c r="I15" s="588"/>
      <c r="J15" s="605">
        <f>+J102</f>
        <v>9730734</v>
      </c>
      <c r="K15" s="588"/>
      <c r="L15" s="605">
        <f>+L102</f>
        <v>5840030</v>
      </c>
      <c r="M15" s="588"/>
      <c r="N15" s="605">
        <f>+N102</f>
        <v>3890704</v>
      </c>
      <c r="O15" s="588"/>
      <c r="P15" s="706" t="s">
        <v>1763</v>
      </c>
      <c r="Q15" s="588"/>
      <c r="R15" s="605">
        <f>R102</f>
        <v>0</v>
      </c>
      <c r="S15" s="605"/>
      <c r="T15" s="605">
        <f>T102</f>
        <v>0</v>
      </c>
      <c r="U15" s="605"/>
      <c r="V15" s="605">
        <f>V102</f>
        <v>3890704</v>
      </c>
      <c r="W15" s="605"/>
      <c r="X15" s="605">
        <f>SUM(R15:V15)</f>
        <v>3890704</v>
      </c>
      <c r="Y15" s="605"/>
      <c r="Z15" s="607" t="s">
        <v>1770</v>
      </c>
      <c r="AA15" s="605"/>
      <c r="AB15" s="605">
        <f>AB102</f>
        <v>0</v>
      </c>
      <c r="AC15" s="605"/>
      <c r="AD15" s="605">
        <f>AD102</f>
        <v>0</v>
      </c>
      <c r="AE15" s="605"/>
      <c r="AF15" s="605">
        <f>AF102</f>
        <v>357465.50417482667</v>
      </c>
      <c r="AG15" s="605"/>
      <c r="AH15" s="706" t="s">
        <v>1773</v>
      </c>
      <c r="AI15" s="605"/>
      <c r="AJ15" s="605">
        <f>AJ102</f>
        <v>0</v>
      </c>
      <c r="AK15" s="605"/>
      <c r="AL15" s="605">
        <f>AL102</f>
        <v>0</v>
      </c>
      <c r="AM15" s="605"/>
      <c r="AN15" s="605">
        <f>AN102</f>
        <v>3533238.631668462</v>
      </c>
      <c r="AO15" s="605"/>
      <c r="AP15" s="605">
        <f t="shared" si="2"/>
        <v>3533238.631668462</v>
      </c>
      <c r="AQ15" s="605"/>
      <c r="AR15" s="605">
        <f>AR102</f>
        <v>0</v>
      </c>
      <c r="AS15" s="605"/>
      <c r="AT15" s="605">
        <f>AT102</f>
        <v>0</v>
      </c>
      <c r="AU15" s="605"/>
      <c r="AV15" s="605">
        <f>AV102</f>
        <v>559120.10937917756</v>
      </c>
      <c r="AW15" s="605"/>
      <c r="AX15" s="605">
        <f>AX102</f>
        <v>0</v>
      </c>
      <c r="AY15" s="605"/>
      <c r="AZ15" s="605">
        <f>AZ102</f>
        <v>0</v>
      </c>
      <c r="BA15" s="605"/>
      <c r="BB15" s="605">
        <f>BB102</f>
        <v>2974118.5222892845</v>
      </c>
      <c r="BC15" s="605"/>
      <c r="BD15" s="605">
        <f t="shared" si="3"/>
        <v>2974118.5222892845</v>
      </c>
      <c r="BE15" s="605"/>
      <c r="BF15" s="605">
        <f>+BF102</f>
        <v>4129779</v>
      </c>
      <c r="BG15" s="590"/>
      <c r="BH15" s="590">
        <f t="shared" si="0"/>
        <v>103</v>
      </c>
    </row>
    <row r="16" spans="1:60" ht="14.5">
      <c r="A16" s="590">
        <f>+A15+1</f>
        <v>104</v>
      </c>
      <c r="B16" s="588" t="s">
        <v>1563</v>
      </c>
      <c r="C16" s="588" t="s">
        <v>1564</v>
      </c>
      <c r="D16" s="702" t="s">
        <v>1740</v>
      </c>
      <c r="E16" s="588"/>
      <c r="F16" s="706" t="s">
        <v>1768</v>
      </c>
      <c r="G16" s="588"/>
      <c r="H16" s="608">
        <f>+H116</f>
        <v>0</v>
      </c>
      <c r="I16" s="588"/>
      <c r="J16" s="608">
        <f>+J116</f>
        <v>336430551</v>
      </c>
      <c r="K16" s="588"/>
      <c r="L16" s="608">
        <f>+L116</f>
        <v>201858330</v>
      </c>
      <c r="M16" s="588"/>
      <c r="N16" s="608">
        <f>+N116</f>
        <v>134572220</v>
      </c>
      <c r="O16" s="588"/>
      <c r="P16" s="706" t="s">
        <v>1763</v>
      </c>
      <c r="Q16" s="588"/>
      <c r="R16" s="608">
        <f>R116</f>
        <v>134572220</v>
      </c>
      <c r="S16" s="608"/>
      <c r="T16" s="608">
        <f t="shared" ref="T16" si="5">T116</f>
        <v>0</v>
      </c>
      <c r="U16" s="608"/>
      <c r="V16" s="608">
        <f t="shared" ref="V16" si="6">V116</f>
        <v>0</v>
      </c>
      <c r="W16" s="608"/>
      <c r="X16" s="608">
        <f t="shared" si="1"/>
        <v>134572220</v>
      </c>
      <c r="Y16" s="605"/>
      <c r="Z16" s="607" t="s">
        <v>1560</v>
      </c>
      <c r="AA16" s="605"/>
      <c r="AB16" s="608">
        <f>AB116</f>
        <v>8829126.3361763302</v>
      </c>
      <c r="AC16" s="608"/>
      <c r="AD16" s="608">
        <f t="shared" ref="AD16:AF16" si="7">AD116</f>
        <v>0</v>
      </c>
      <c r="AE16" s="608"/>
      <c r="AF16" s="608">
        <f t="shared" si="7"/>
        <v>0</v>
      </c>
      <c r="AG16" s="605"/>
      <c r="AH16" s="706" t="s">
        <v>1773</v>
      </c>
      <c r="AI16" s="605"/>
      <c r="AJ16" s="608">
        <f>AJ116</f>
        <v>125743093.86985767</v>
      </c>
      <c r="AK16" s="608"/>
      <c r="AL16" s="608">
        <f t="shared" ref="AL16" si="8">AL116</f>
        <v>0</v>
      </c>
      <c r="AM16" s="608"/>
      <c r="AN16" s="608">
        <f t="shared" ref="AN16" si="9">AN116</f>
        <v>0</v>
      </c>
      <c r="AO16" s="608"/>
      <c r="AP16" s="608">
        <f t="shared" si="2"/>
        <v>125743093.86985767</v>
      </c>
      <c r="AQ16" s="605"/>
      <c r="AR16" s="608">
        <f>AR116</f>
        <v>1851828.7079636212</v>
      </c>
      <c r="AS16" s="608"/>
      <c r="AT16" s="608">
        <f t="shared" ref="AT16:AV16" si="10">AT116</f>
        <v>0</v>
      </c>
      <c r="AU16" s="608"/>
      <c r="AV16" s="608">
        <f t="shared" si="10"/>
        <v>0</v>
      </c>
      <c r="AW16" s="605"/>
      <c r="AX16" s="608">
        <f>AX116</f>
        <v>123891265.16189405</v>
      </c>
      <c r="AY16" s="608"/>
      <c r="AZ16" s="608">
        <f t="shared" ref="AZ16" si="11">AZ116</f>
        <v>0</v>
      </c>
      <c r="BA16" s="608"/>
      <c r="BB16" s="608">
        <f t="shared" ref="BB16" si="12">BB116</f>
        <v>0</v>
      </c>
      <c r="BC16" s="608"/>
      <c r="BD16" s="608">
        <f t="shared" si="3"/>
        <v>123891265.16189405</v>
      </c>
      <c r="BE16" s="605"/>
      <c r="BF16" s="608">
        <f>+BF116</f>
        <v>172032017</v>
      </c>
      <c r="BG16" s="590"/>
      <c r="BH16" s="590">
        <f t="shared" si="0"/>
        <v>104</v>
      </c>
    </row>
    <row r="17" spans="1:60" ht="14.5">
      <c r="A17" s="590">
        <f>+A16+1</f>
        <v>105</v>
      </c>
      <c r="B17" s="588" t="s">
        <v>361</v>
      </c>
      <c r="C17" s="588"/>
      <c r="D17" s="590"/>
      <c r="E17" s="590"/>
      <c r="F17" s="590"/>
      <c r="G17" s="590"/>
      <c r="H17" s="712">
        <f>SUM(H12:H16)</f>
        <v>0</v>
      </c>
      <c r="I17" s="590"/>
      <c r="J17" s="606">
        <f>SUM(J12:J16)</f>
        <v>-1696330072</v>
      </c>
      <c r="K17" s="590"/>
      <c r="L17" s="606">
        <f>SUM(L12:L16)</f>
        <v>-1086775617</v>
      </c>
      <c r="M17" s="590"/>
      <c r="N17" s="606">
        <f>SUM(N12:N16)</f>
        <v>-609554456</v>
      </c>
      <c r="O17" s="590"/>
      <c r="P17" s="590"/>
      <c r="Q17" s="590"/>
      <c r="R17" s="606">
        <f>SUM(R12:R16)</f>
        <v>-473357154</v>
      </c>
      <c r="S17" s="606"/>
      <c r="T17" s="606">
        <f>SUM(T12:T16)</f>
        <v>-140088006</v>
      </c>
      <c r="U17" s="606"/>
      <c r="V17" s="606">
        <f>SUM(V12:V16)</f>
        <v>3890704</v>
      </c>
      <c r="W17" s="606"/>
      <c r="X17" s="606">
        <f>SUM(X12:X16)</f>
        <v>-609554456</v>
      </c>
      <c r="Y17" s="606"/>
      <c r="Z17" s="712"/>
      <c r="AA17" s="606"/>
      <c r="AB17" s="606">
        <f>SUM(AB12:AB16)</f>
        <v>-31056410.407457024</v>
      </c>
      <c r="AC17" s="606"/>
      <c r="AD17" s="606">
        <f>SUM(AD12:AD16)</f>
        <v>-49569502.895844482</v>
      </c>
      <c r="AE17" s="606"/>
      <c r="AF17" s="606">
        <f>SUM(AF12:AF16)</f>
        <v>357465.50417482667</v>
      </c>
      <c r="AG17" s="606"/>
      <c r="AH17" s="590"/>
      <c r="AI17" s="606"/>
      <c r="AJ17" s="606">
        <f>SUM(AJ12:AJ16)</f>
        <v>-442300743.29848146</v>
      </c>
      <c r="AK17" s="606"/>
      <c r="AL17" s="606">
        <f>SUM(AL12:AL16)</f>
        <v>-90518503.125225246</v>
      </c>
      <c r="AM17" s="606"/>
      <c r="AN17" s="606">
        <f>SUM(AN12:AN16)</f>
        <v>3533238.631668462</v>
      </c>
      <c r="AO17" s="606"/>
      <c r="AP17" s="606">
        <f>SUM(AP12:AP16)</f>
        <v>-529286007.7920382</v>
      </c>
      <c r="AQ17" s="606"/>
      <c r="AR17" s="606">
        <f>SUM(AR12:AR16)</f>
        <v>-6513798.7793845115</v>
      </c>
      <c r="AS17" s="606"/>
      <c r="AT17" s="606">
        <f>SUM(AT12:AT16)</f>
        <v>-14324173.144193165</v>
      </c>
      <c r="AU17" s="606"/>
      <c r="AV17" s="606">
        <f>SUM(AV12:AV16)</f>
        <v>559120.10937917756</v>
      </c>
      <c r="AW17" s="606"/>
      <c r="AX17" s="606">
        <f>SUM(AX12:AX16)</f>
        <v>-435786944.51909685</v>
      </c>
      <c r="AY17" s="606"/>
      <c r="AZ17" s="606">
        <f>SUM(AZ12:AZ16)</f>
        <v>-76194329.981032103</v>
      </c>
      <c r="BA17" s="606"/>
      <c r="BB17" s="606">
        <f>SUM(BB12:BB16)</f>
        <v>2974118.5222892845</v>
      </c>
      <c r="BC17" s="606"/>
      <c r="BD17" s="606">
        <f>SUM(BD12:BD16)</f>
        <v>-509007155.97783971</v>
      </c>
      <c r="BE17" s="606"/>
      <c r="BF17" s="712">
        <f>SUM(BF12:BF16)</f>
        <v>-706793391</v>
      </c>
      <c r="BG17" s="610"/>
      <c r="BH17" s="590">
        <f t="shared" si="0"/>
        <v>105</v>
      </c>
    </row>
    <row r="18" spans="1:60" ht="14.5">
      <c r="A18" s="590"/>
      <c r="B18" s="588"/>
      <c r="C18" s="588"/>
      <c r="D18" s="590"/>
      <c r="E18" s="590"/>
      <c r="F18" s="590"/>
      <c r="G18" s="590"/>
      <c r="H18" s="590"/>
      <c r="I18" s="590"/>
      <c r="J18" s="664"/>
      <c r="K18" s="665"/>
      <c r="L18" s="664"/>
      <c r="M18" s="665"/>
      <c r="N18" s="664"/>
      <c r="O18" s="665"/>
      <c r="P18" s="590"/>
      <c r="Q18" s="590"/>
      <c r="R18" s="588"/>
      <c r="S18" s="588"/>
      <c r="T18" s="588"/>
      <c r="U18" s="588"/>
      <c r="V18" s="588"/>
      <c r="W18" s="588"/>
      <c r="X18" s="588"/>
      <c r="Y18" s="588"/>
      <c r="Z18" s="702"/>
      <c r="AA18" s="588"/>
      <c r="AB18" s="588"/>
      <c r="AC18" s="588"/>
      <c r="AD18" s="588"/>
      <c r="AE18" s="588"/>
      <c r="AF18" s="588"/>
      <c r="AG18" s="588"/>
      <c r="AH18" s="590"/>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90"/>
      <c r="BG18" s="610"/>
      <c r="BH18" s="590"/>
    </row>
    <row r="19" spans="1:60" ht="14.5">
      <c r="A19" s="590">
        <f>+A17+1</f>
        <v>106</v>
      </c>
      <c r="B19" s="611" t="s">
        <v>1565</v>
      </c>
      <c r="C19" s="611"/>
      <c r="D19" s="589"/>
      <c r="E19" s="590"/>
      <c r="F19" s="590"/>
      <c r="G19" s="590"/>
      <c r="H19" s="590"/>
      <c r="I19" s="590"/>
      <c r="J19" s="590"/>
      <c r="K19" s="590"/>
      <c r="L19" s="590"/>
      <c r="M19" s="590"/>
      <c r="N19" s="590"/>
      <c r="O19" s="590"/>
      <c r="P19" s="590"/>
      <c r="Q19" s="590"/>
      <c r="R19" s="588"/>
      <c r="S19" s="588"/>
      <c r="T19" s="588"/>
      <c r="U19" s="588"/>
      <c r="V19" s="588"/>
      <c r="W19" s="588"/>
      <c r="X19" s="588"/>
      <c r="Y19" s="588"/>
      <c r="Z19" s="702"/>
      <c r="AA19" s="588"/>
      <c r="AB19" s="588"/>
      <c r="AC19" s="588"/>
      <c r="AD19" s="588"/>
      <c r="AE19" s="588"/>
      <c r="AF19" s="588"/>
      <c r="AG19" s="588"/>
      <c r="AH19" s="590"/>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90"/>
      <c r="BG19" s="612"/>
      <c r="BH19" s="590">
        <f>A19</f>
        <v>106</v>
      </c>
    </row>
    <row r="20" spans="1:60" ht="14.5">
      <c r="A20" s="590">
        <f>+A19+1</f>
        <v>107</v>
      </c>
      <c r="B20" s="622" t="s">
        <v>1931</v>
      </c>
      <c r="C20" s="588"/>
      <c r="D20" s="590"/>
      <c r="E20" s="590"/>
      <c r="F20" s="590"/>
      <c r="G20" s="590"/>
      <c r="H20" s="712">
        <f>+H125</f>
        <v>0</v>
      </c>
      <c r="I20" s="590"/>
      <c r="J20" s="606">
        <f>J124</f>
        <v>-22361973.694661092</v>
      </c>
      <c r="K20" s="606"/>
      <c r="L20" s="606">
        <f>L124</f>
        <v>-13417682.378914446</v>
      </c>
      <c r="M20" s="606"/>
      <c r="N20" s="606">
        <f>N124</f>
        <v>-8944291.3157466538</v>
      </c>
      <c r="O20" s="606"/>
      <c r="P20" s="706" t="s">
        <v>1764</v>
      </c>
      <c r="Q20" s="590"/>
      <c r="R20" s="606">
        <f>R124</f>
        <v>0</v>
      </c>
      <c r="S20" s="606"/>
      <c r="T20" s="606">
        <f>T124</f>
        <v>-8944291.3157466538</v>
      </c>
      <c r="U20" s="606"/>
      <c r="V20" s="606">
        <f>V124</f>
        <v>0</v>
      </c>
      <c r="W20" s="606"/>
      <c r="X20" s="606">
        <f>SUM(R20:V20)</f>
        <v>-8944291.3157466538</v>
      </c>
      <c r="Y20" s="606"/>
      <c r="Z20" s="607" t="s">
        <v>1560</v>
      </c>
      <c r="AA20" s="606"/>
      <c r="AB20" s="606">
        <f>AB124</f>
        <v>0</v>
      </c>
      <c r="AC20" s="606"/>
      <c r="AD20" s="606">
        <f>AD124</f>
        <v>-3067693.3140946515</v>
      </c>
      <c r="AE20" s="606"/>
      <c r="AF20" s="606">
        <f>AF124</f>
        <v>0</v>
      </c>
      <c r="AG20" s="606"/>
      <c r="AH20" s="706" t="s">
        <v>1764</v>
      </c>
      <c r="AI20" s="606"/>
      <c r="AJ20" s="606">
        <f>AJ124</f>
        <v>0</v>
      </c>
      <c r="AK20" s="606"/>
      <c r="AL20" s="606">
        <f>AL124</f>
        <v>-5876598.0016520014</v>
      </c>
      <c r="AM20" s="606"/>
      <c r="AN20" s="606">
        <f>AN124</f>
        <v>0</v>
      </c>
      <c r="AO20" s="606"/>
      <c r="AP20" s="606">
        <f t="shared" ref="AP20:AP22" si="13">SUM(AJ20:AN20)</f>
        <v>-5876598.0016520014</v>
      </c>
      <c r="AQ20" s="606"/>
      <c r="AR20" s="606">
        <f>AR124</f>
        <v>0</v>
      </c>
      <c r="AS20" s="606"/>
      <c r="AT20" s="606">
        <f>AT124</f>
        <v>-929946.9651860015</v>
      </c>
      <c r="AU20" s="606"/>
      <c r="AV20" s="606">
        <f>AV124</f>
        <v>0</v>
      </c>
      <c r="AW20" s="606"/>
      <c r="AX20" s="606">
        <f>AX124</f>
        <v>0</v>
      </c>
      <c r="AY20" s="606"/>
      <c r="AZ20" s="606">
        <f>AZ124</f>
        <v>-4946651.0364659987</v>
      </c>
      <c r="BA20" s="606"/>
      <c r="BB20" s="606">
        <f>BB124</f>
        <v>0</v>
      </c>
      <c r="BC20" s="606"/>
      <c r="BD20" s="606">
        <f>SUM(AX20:BB20)</f>
        <v>-4946651.0364659987</v>
      </c>
      <c r="BE20" s="606"/>
      <c r="BF20" s="712">
        <f>BF125</f>
        <v>-16360800.678953011</v>
      </c>
      <c r="BG20" s="610"/>
      <c r="BH20" s="590">
        <f>A20</f>
        <v>107</v>
      </c>
    </row>
    <row r="21" spans="1:60" ht="14.5">
      <c r="A21" s="590">
        <f t="shared" ref="A21:A30" si="14">A20+1</f>
        <v>108</v>
      </c>
      <c r="B21" s="595" t="s">
        <v>640</v>
      </c>
      <c r="C21" s="588"/>
      <c r="D21" s="590"/>
      <c r="E21" s="590"/>
      <c r="F21" s="590"/>
      <c r="G21" s="590"/>
      <c r="H21" s="712">
        <f t="shared" ref="H21:H22" si="15">+H126</f>
        <v>0</v>
      </c>
      <c r="I21" s="590"/>
      <c r="J21" s="606">
        <v>0</v>
      </c>
      <c r="K21" s="606"/>
      <c r="L21" s="606">
        <v>0</v>
      </c>
      <c r="M21" s="606"/>
      <c r="N21" s="606">
        <v>0</v>
      </c>
      <c r="O21" s="606"/>
      <c r="P21" s="706" t="s">
        <v>1764</v>
      </c>
      <c r="Q21" s="590"/>
      <c r="R21" s="606">
        <f t="shared" ref="R21:R22" si="16">R125</f>
        <v>0</v>
      </c>
      <c r="S21" s="606"/>
      <c r="T21" s="606">
        <v>0</v>
      </c>
      <c r="U21" s="606"/>
      <c r="V21" s="606">
        <v>0</v>
      </c>
      <c r="W21" s="606"/>
      <c r="X21" s="606">
        <f t="shared" ref="X21:X22" si="17">SUM(R21:V21)</f>
        <v>0</v>
      </c>
      <c r="Y21" s="606"/>
      <c r="Z21" s="607" t="s">
        <v>1560</v>
      </c>
      <c r="AA21" s="606"/>
      <c r="AB21" s="606">
        <v>0</v>
      </c>
      <c r="AC21" s="606"/>
      <c r="AD21" s="606">
        <v>0</v>
      </c>
      <c r="AE21" s="606"/>
      <c r="AF21" s="606">
        <v>0</v>
      </c>
      <c r="AG21" s="606"/>
      <c r="AH21" s="706" t="s">
        <v>1764</v>
      </c>
      <c r="AI21" s="606"/>
      <c r="AJ21" s="606">
        <v>0</v>
      </c>
      <c r="AK21" s="606"/>
      <c r="AL21" s="606">
        <v>0</v>
      </c>
      <c r="AM21" s="606"/>
      <c r="AN21" s="606">
        <f t="shared" ref="AN21:AN22" si="18">AN125</f>
        <v>0</v>
      </c>
      <c r="AO21" s="606"/>
      <c r="AP21" s="606">
        <f t="shared" si="13"/>
        <v>0</v>
      </c>
      <c r="AQ21" s="606"/>
      <c r="AR21" s="606">
        <v>0</v>
      </c>
      <c r="AS21" s="606"/>
      <c r="AT21" s="606">
        <v>0</v>
      </c>
      <c r="AU21" s="606"/>
      <c r="AV21" s="606">
        <v>0</v>
      </c>
      <c r="AW21" s="606"/>
      <c r="AX21" s="606">
        <v>0</v>
      </c>
      <c r="AY21" s="606"/>
      <c r="AZ21" s="606">
        <v>0</v>
      </c>
      <c r="BA21" s="606"/>
      <c r="BB21" s="606">
        <v>0</v>
      </c>
      <c r="BC21" s="606"/>
      <c r="BD21" s="606">
        <f t="shared" ref="BD21:BD22" si="19">SUM(AX21:BB21)</f>
        <v>0</v>
      </c>
      <c r="BE21" s="606"/>
      <c r="BF21" s="712">
        <f>BF126</f>
        <v>1800105.0092228993</v>
      </c>
      <c r="BG21" s="612"/>
      <c r="BH21" s="590">
        <f>A21</f>
        <v>108</v>
      </c>
    </row>
    <row r="22" spans="1:60" ht="14.5">
      <c r="A22" s="590">
        <f t="shared" si="14"/>
        <v>109</v>
      </c>
      <c r="B22" s="595" t="s">
        <v>640</v>
      </c>
      <c r="C22" s="588"/>
      <c r="D22" s="590"/>
      <c r="E22" s="590"/>
      <c r="F22" s="590"/>
      <c r="G22" s="590"/>
      <c r="H22" s="721">
        <f t="shared" si="15"/>
        <v>0</v>
      </c>
      <c r="I22" s="590"/>
      <c r="J22" s="609">
        <v>0</v>
      </c>
      <c r="K22" s="609"/>
      <c r="L22" s="609">
        <v>0</v>
      </c>
      <c r="M22" s="609"/>
      <c r="N22" s="609">
        <v>0</v>
      </c>
      <c r="O22" s="609"/>
      <c r="P22" s="706" t="s">
        <v>1764</v>
      </c>
      <c r="Q22" s="590"/>
      <c r="R22" s="609">
        <f t="shared" si="16"/>
        <v>0</v>
      </c>
      <c r="S22" s="609"/>
      <c r="T22" s="609">
        <v>0</v>
      </c>
      <c r="U22" s="609"/>
      <c r="V22" s="609">
        <v>0</v>
      </c>
      <c r="W22" s="609"/>
      <c r="X22" s="609">
        <f t="shared" si="17"/>
        <v>0</v>
      </c>
      <c r="Y22" s="606"/>
      <c r="Z22" s="607" t="s">
        <v>1560</v>
      </c>
      <c r="AA22" s="606"/>
      <c r="AB22" s="609">
        <v>0</v>
      </c>
      <c r="AC22" s="609"/>
      <c r="AD22" s="609">
        <v>0</v>
      </c>
      <c r="AE22" s="609"/>
      <c r="AF22" s="609">
        <v>0</v>
      </c>
      <c r="AG22" s="606"/>
      <c r="AH22" s="706" t="s">
        <v>1764</v>
      </c>
      <c r="AI22" s="606"/>
      <c r="AJ22" s="609">
        <v>0</v>
      </c>
      <c r="AK22" s="609"/>
      <c r="AL22" s="609">
        <v>0</v>
      </c>
      <c r="AM22" s="609"/>
      <c r="AN22" s="609">
        <f t="shared" si="18"/>
        <v>0</v>
      </c>
      <c r="AO22" s="609"/>
      <c r="AP22" s="609">
        <f t="shared" si="13"/>
        <v>0</v>
      </c>
      <c r="AQ22" s="606"/>
      <c r="AR22" s="609">
        <v>0</v>
      </c>
      <c r="AS22" s="609"/>
      <c r="AT22" s="609">
        <v>0</v>
      </c>
      <c r="AU22" s="609"/>
      <c r="AV22" s="609">
        <v>0</v>
      </c>
      <c r="AW22" s="606"/>
      <c r="AX22" s="609">
        <v>0</v>
      </c>
      <c r="AY22" s="609"/>
      <c r="AZ22" s="609">
        <v>0</v>
      </c>
      <c r="BA22" s="609"/>
      <c r="BB22" s="609">
        <v>0</v>
      </c>
      <c r="BC22" s="609"/>
      <c r="BD22" s="609">
        <f t="shared" si="19"/>
        <v>0</v>
      </c>
      <c r="BE22" s="606"/>
      <c r="BF22" s="721">
        <f>BF127</f>
        <v>2140897.7962642731</v>
      </c>
      <c r="BG22" s="612"/>
      <c r="BH22" s="590">
        <f>A22</f>
        <v>109</v>
      </c>
    </row>
    <row r="23" spans="1:60" ht="14.5">
      <c r="A23" s="590">
        <f t="shared" si="14"/>
        <v>110</v>
      </c>
      <c r="B23" s="588" t="s">
        <v>1566</v>
      </c>
      <c r="C23" s="588"/>
      <c r="D23" s="590"/>
      <c r="E23" s="590"/>
      <c r="F23" s="590"/>
      <c r="G23" s="590"/>
      <c r="H23" s="712">
        <f>SUM(H17:H22)</f>
        <v>0</v>
      </c>
      <c r="I23" s="590"/>
      <c r="J23" s="606">
        <f>SUM(J17:J22)</f>
        <v>-1718692045.6946611</v>
      </c>
      <c r="K23" s="606"/>
      <c r="L23" s="606">
        <f t="shared" ref="L23" si="20">SUM(L17:L22)</f>
        <v>-1100193299.3789144</v>
      </c>
      <c r="M23" s="606"/>
      <c r="N23" s="606">
        <f t="shared" ref="N23" si="21">SUM(N17:N22)</f>
        <v>-618498747.31574667</v>
      </c>
      <c r="O23" s="606"/>
      <c r="P23" s="712"/>
      <c r="Q23" s="590"/>
      <c r="R23" s="606">
        <f>SUM(R17:R22)</f>
        <v>-473357154</v>
      </c>
      <c r="S23" s="606"/>
      <c r="T23" s="606">
        <f t="shared" ref="T23" si="22">SUM(T17:T22)</f>
        <v>-149032297.31574667</v>
      </c>
      <c r="U23" s="606"/>
      <c r="V23" s="606">
        <f t="shared" ref="V23" si="23">SUM(V17:V22)</f>
        <v>3890704</v>
      </c>
      <c r="W23" s="606"/>
      <c r="X23" s="606">
        <f>SUM(X17:X22)</f>
        <v>-618498747.31574667</v>
      </c>
      <c r="Y23" s="606"/>
      <c r="Z23" s="712"/>
      <c r="AA23" s="606"/>
      <c r="AB23" s="606">
        <f>SUM(AB17:AB22)</f>
        <v>-31056410.407457024</v>
      </c>
      <c r="AC23" s="606"/>
      <c r="AD23" s="606">
        <f t="shared" ref="AD23" si="24">SUM(AD17:AD22)</f>
        <v>-52637196.209939137</v>
      </c>
      <c r="AE23" s="606"/>
      <c r="AF23" s="606">
        <f t="shared" ref="AF23" si="25">SUM(AF17:AF22)</f>
        <v>357465.50417482667</v>
      </c>
      <c r="AG23" s="606"/>
      <c r="AH23" s="712"/>
      <c r="AI23" s="606"/>
      <c r="AJ23" s="606">
        <f>SUM(AJ17:AJ22)</f>
        <v>-442300743.29848146</v>
      </c>
      <c r="AK23" s="606"/>
      <c r="AL23" s="606">
        <f t="shared" ref="AL23" si="26">SUM(AL17:AL22)</f>
        <v>-96395101.126877248</v>
      </c>
      <c r="AM23" s="606"/>
      <c r="AN23" s="606">
        <f t="shared" ref="AN23" si="27">SUM(AN17:AN22)</f>
        <v>3533238.631668462</v>
      </c>
      <c r="AO23" s="606"/>
      <c r="AP23" s="606">
        <f t="shared" ref="AP23" si="28">SUM(AP17:AP22)</f>
        <v>-535162605.7936902</v>
      </c>
      <c r="AQ23" s="606"/>
      <c r="AR23" s="606">
        <f>SUM(AR17:AR22)</f>
        <v>-6513798.7793845115</v>
      </c>
      <c r="AS23" s="606"/>
      <c r="AT23" s="606">
        <f t="shared" ref="AT23" si="29">SUM(AT17:AT22)</f>
        <v>-15254120.109379167</v>
      </c>
      <c r="AU23" s="606"/>
      <c r="AV23" s="606">
        <f t="shared" ref="AV23" si="30">SUM(AV17:AV22)</f>
        <v>559120.10937917756</v>
      </c>
      <c r="AW23" s="606"/>
      <c r="AX23" s="606">
        <f>SUM(AX17:AX22)</f>
        <v>-435786944.51909685</v>
      </c>
      <c r="AY23" s="606"/>
      <c r="AZ23" s="606">
        <f t="shared" ref="AZ23" si="31">SUM(AZ17:AZ22)</f>
        <v>-81140981.017498106</v>
      </c>
      <c r="BA23" s="606"/>
      <c r="BB23" s="606">
        <f t="shared" ref="BB23" si="32">SUM(BB17:BB22)</f>
        <v>2974118.5222892845</v>
      </c>
      <c r="BC23" s="606"/>
      <c r="BD23" s="606">
        <f t="shared" ref="BD23" si="33">SUM(BD17:BD22)</f>
        <v>-513953807.01430571</v>
      </c>
      <c r="BE23" s="606"/>
      <c r="BF23" s="712">
        <f>SUM(BF17:BF22)</f>
        <v>-719213188.8734659</v>
      </c>
      <c r="BG23" s="612"/>
      <c r="BH23" s="590">
        <f>A23</f>
        <v>110</v>
      </c>
    </row>
    <row r="24" spans="1:60" ht="14.5">
      <c r="A24" s="590"/>
      <c r="B24" s="588"/>
      <c r="C24" s="588"/>
      <c r="D24" s="590"/>
      <c r="E24" s="590"/>
      <c r="F24" s="590"/>
      <c r="G24" s="590"/>
      <c r="H24" s="590"/>
      <c r="I24" s="590"/>
      <c r="J24" s="590"/>
      <c r="K24" s="590"/>
      <c r="L24" s="590"/>
      <c r="M24" s="590"/>
      <c r="N24" s="590"/>
      <c r="O24" s="590"/>
      <c r="P24" s="590"/>
      <c r="Q24" s="590"/>
      <c r="R24" s="606"/>
      <c r="S24" s="606"/>
      <c r="T24" s="606"/>
      <c r="U24" s="606"/>
      <c r="V24" s="606"/>
      <c r="W24" s="606"/>
      <c r="X24" s="606"/>
      <c r="Y24" s="606"/>
      <c r="Z24" s="712"/>
      <c r="AA24" s="606"/>
      <c r="AB24" s="606"/>
      <c r="AC24" s="606"/>
      <c r="AD24" s="606"/>
      <c r="AE24" s="606"/>
      <c r="AF24" s="606"/>
      <c r="AG24" s="606"/>
      <c r="AH24" s="712"/>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590"/>
      <c r="BG24" s="612"/>
      <c r="BH24" s="590"/>
    </row>
    <row r="25" spans="1:60" ht="14.5">
      <c r="A25" s="323" t="s">
        <v>124</v>
      </c>
      <c r="B25" s="611" t="s">
        <v>1567</v>
      </c>
      <c r="C25" s="613"/>
      <c r="D25" s="589" t="s">
        <v>125</v>
      </c>
      <c r="E25" s="590"/>
      <c r="F25" s="590"/>
      <c r="G25" s="590"/>
      <c r="H25" s="590"/>
      <c r="I25" s="590"/>
      <c r="J25" s="590"/>
      <c r="K25" s="590"/>
      <c r="L25" s="590"/>
      <c r="M25" s="590"/>
      <c r="N25" s="590"/>
      <c r="O25" s="590"/>
      <c r="P25" s="590"/>
      <c r="Q25" s="590"/>
      <c r="R25" s="606"/>
      <c r="S25" s="606"/>
      <c r="T25" s="606"/>
      <c r="U25" s="606"/>
      <c r="V25" s="588"/>
      <c r="W25" s="588"/>
      <c r="X25" s="588"/>
      <c r="Y25" s="588"/>
      <c r="Z25" s="702"/>
      <c r="AA25" s="588"/>
      <c r="AB25" s="588"/>
      <c r="AC25" s="588"/>
      <c r="AD25" s="588"/>
      <c r="AE25" s="588"/>
      <c r="AF25" s="588"/>
      <c r="AG25" s="588"/>
      <c r="AH25" s="702"/>
      <c r="AI25" s="588"/>
      <c r="AJ25" s="606"/>
      <c r="AK25" s="606"/>
      <c r="AL25" s="606"/>
      <c r="AM25" s="606"/>
      <c r="AN25" s="588"/>
      <c r="AO25" s="588"/>
      <c r="AP25" s="588"/>
      <c r="AQ25" s="588"/>
      <c r="AR25" s="588"/>
      <c r="AS25" s="588"/>
      <c r="AT25" s="606"/>
      <c r="AU25" s="588"/>
      <c r="AV25" s="588"/>
      <c r="AW25" s="588"/>
      <c r="AX25" s="606"/>
      <c r="AY25" s="606"/>
      <c r="AZ25" s="606"/>
      <c r="BA25" s="606"/>
      <c r="BB25" s="588"/>
      <c r="BC25" s="588"/>
      <c r="BD25" s="588"/>
      <c r="BE25" s="588"/>
      <c r="BF25" s="590"/>
      <c r="BG25" s="612"/>
      <c r="BH25" s="616" t="s">
        <v>124</v>
      </c>
    </row>
    <row r="26" spans="1:60" ht="14.5">
      <c r="A26" s="590">
        <v>200</v>
      </c>
      <c r="B26" s="588" t="s">
        <v>1573</v>
      </c>
      <c r="C26" s="588"/>
      <c r="D26" s="590"/>
      <c r="E26" s="590"/>
      <c r="F26" s="590"/>
      <c r="G26" s="590"/>
      <c r="H26" s="721">
        <f>ROUND(SUM(H27:H31),0)</f>
        <v>0</v>
      </c>
      <c r="I26" s="590"/>
      <c r="J26" s="609">
        <f>ROUND(SUM(J27:J31),0)</f>
        <v>-1695727972</v>
      </c>
      <c r="K26" s="606"/>
      <c r="L26" s="609">
        <f>ROUND(SUM(L27:L31),0)</f>
        <v>-1087798598</v>
      </c>
      <c r="M26" s="606"/>
      <c r="N26" s="609">
        <f>ROUND(SUM(N27:N31),0)</f>
        <v>-607929374</v>
      </c>
      <c r="O26" s="590"/>
      <c r="P26" s="590"/>
      <c r="Q26" s="590"/>
      <c r="R26" s="609">
        <f>ROUND(SUM(R27:R31),0)</f>
        <v>-607929374</v>
      </c>
      <c r="S26" s="606"/>
      <c r="T26" s="609">
        <f>ROUND(SUM(T27:T31),0)</f>
        <v>0</v>
      </c>
      <c r="U26" s="606"/>
      <c r="V26" s="609">
        <f>ROUND(SUM(V27:V31),0)</f>
        <v>0</v>
      </c>
      <c r="W26" s="606"/>
      <c r="X26" s="609">
        <f>ROUND(SUM(X27:X31),0)</f>
        <v>-607929374</v>
      </c>
      <c r="Y26" s="606"/>
      <c r="Z26" s="712"/>
      <c r="AA26" s="606"/>
      <c r="AB26" s="609">
        <f>SUM(AB27:AB31)</f>
        <v>-39885536.743633352</v>
      </c>
      <c r="AC26" s="606"/>
      <c r="AD26" s="609">
        <f>SUM(AD27:AD31)</f>
        <v>0</v>
      </c>
      <c r="AE26" s="606"/>
      <c r="AF26" s="609">
        <f>SUM(AF27:AF31)</f>
        <v>0</v>
      </c>
      <c r="AG26" s="606"/>
      <c r="AH26" s="712"/>
      <c r="AI26" s="606"/>
      <c r="AJ26" s="609">
        <f>SUM(AJ27:AJ31)</f>
        <v>-568043837.16833913</v>
      </c>
      <c r="AK26" s="606"/>
      <c r="AL26" s="609">
        <f>SUM(AL27:AL31)</f>
        <v>0</v>
      </c>
      <c r="AM26" s="606"/>
      <c r="AN26" s="609">
        <f>SUM(AN27:AN31)</f>
        <v>0</v>
      </c>
      <c r="AO26" s="606"/>
      <c r="AP26" s="609">
        <f>SUM(AP27:AP31)</f>
        <v>-568043837.16833913</v>
      </c>
      <c r="AQ26" s="606"/>
      <c r="AR26" s="609">
        <f>SUM(AR27:AR31)</f>
        <v>-8365627.4873481328</v>
      </c>
      <c r="AS26" s="606"/>
      <c r="AT26" s="609">
        <f>SUM(AT27:AT31)</f>
        <v>0</v>
      </c>
      <c r="AU26" s="606"/>
      <c r="AV26" s="609">
        <f>SUM(AV27:AV31)</f>
        <v>0</v>
      </c>
      <c r="AW26" s="606"/>
      <c r="AX26" s="609">
        <f>SUM(AX27:AX31)</f>
        <v>-559678209.68099093</v>
      </c>
      <c r="AY26" s="606"/>
      <c r="AZ26" s="609">
        <f>SUM(AZ27:AZ31)</f>
        <v>0</v>
      </c>
      <c r="BA26" s="606"/>
      <c r="BB26" s="609">
        <f>SUM(BB27:BB31)</f>
        <v>0</v>
      </c>
      <c r="BC26" s="606"/>
      <c r="BD26" s="609">
        <f>SUM(BD27:BD31)</f>
        <v>-559678209.68099093</v>
      </c>
      <c r="BE26" s="606"/>
      <c r="BF26" s="721">
        <f>ROUND(SUM(BF27:BF31),0)</f>
        <v>-777153828</v>
      </c>
      <c r="BG26" s="610"/>
      <c r="BH26" s="590">
        <f t="shared" ref="BH26:BH31" si="34">A26</f>
        <v>200</v>
      </c>
    </row>
    <row r="27" spans="1:60" ht="14.5">
      <c r="A27" s="590">
        <f t="shared" si="14"/>
        <v>201</v>
      </c>
      <c r="B27" s="622" t="s">
        <v>1788</v>
      </c>
      <c r="C27" s="588"/>
      <c r="D27" s="588" t="s">
        <v>1765</v>
      </c>
      <c r="E27" s="590"/>
      <c r="F27" s="706" t="s">
        <v>1766</v>
      </c>
      <c r="G27" s="590"/>
      <c r="H27" s="723"/>
      <c r="I27" s="590"/>
      <c r="J27" s="620">
        <v>-177951619.23296779</v>
      </c>
      <c r="K27" s="606"/>
      <c r="L27" s="620">
        <v>-177951617.90316525</v>
      </c>
      <c r="M27" s="606"/>
      <c r="N27" s="620">
        <v>-1.3298025289016575</v>
      </c>
      <c r="O27" s="590"/>
      <c r="P27" s="706" t="s">
        <v>1762</v>
      </c>
      <c r="Q27" s="590"/>
      <c r="R27" s="606">
        <f>N27</f>
        <v>-1.3298025289016575</v>
      </c>
      <c r="S27" s="606"/>
      <c r="T27" s="606">
        <v>0</v>
      </c>
      <c r="U27" s="606"/>
      <c r="V27" s="606">
        <v>0</v>
      </c>
      <c r="W27" s="606"/>
      <c r="X27" s="606">
        <f t="shared" ref="X27:X31" si="35">SUM(R27:V27)</f>
        <v>-1.3298025289016575</v>
      </c>
      <c r="Y27" s="606"/>
      <c r="Z27" s="607" t="s">
        <v>1560</v>
      </c>
      <c r="AA27" s="606"/>
      <c r="AB27" s="620">
        <v>0</v>
      </c>
      <c r="AC27" s="606"/>
      <c r="AD27" s="606">
        <v>0</v>
      </c>
      <c r="AE27" s="606"/>
      <c r="AF27" s="606">
        <v>0</v>
      </c>
      <c r="AG27" s="606"/>
      <c r="AH27" s="607" t="s">
        <v>1772</v>
      </c>
      <c r="AI27" s="606"/>
      <c r="AJ27" s="605">
        <f t="shared" ref="AJ27:AJ31" si="36">+R27-AB27</f>
        <v>-1.3298025289016575</v>
      </c>
      <c r="AK27" s="606"/>
      <c r="AL27" s="605">
        <f t="shared" ref="AL27:AL31" si="37">+T27-AD27</f>
        <v>0</v>
      </c>
      <c r="AM27" s="606"/>
      <c r="AN27" s="605">
        <f t="shared" ref="AN27:AN31" si="38">+V27-AF27</f>
        <v>0</v>
      </c>
      <c r="AO27" s="606"/>
      <c r="AP27" s="606">
        <f t="shared" ref="AP27:AP31" si="39">SUM(AJ27:AN27)</f>
        <v>-1.3298025289016575</v>
      </c>
      <c r="AQ27" s="606"/>
      <c r="AR27" s="620">
        <v>0</v>
      </c>
      <c r="AS27" s="606"/>
      <c r="AT27" s="606">
        <v>0</v>
      </c>
      <c r="AU27" s="606"/>
      <c r="AV27" s="606">
        <v>0</v>
      </c>
      <c r="AW27" s="606"/>
      <c r="AX27" s="605">
        <f>+AJ27-AR27</f>
        <v>-1.3298025289016575</v>
      </c>
      <c r="AY27" s="606"/>
      <c r="AZ27" s="605">
        <f>+AL27-AT27</f>
        <v>0</v>
      </c>
      <c r="BA27" s="606"/>
      <c r="BB27" s="605">
        <f>+AN27-AV27</f>
        <v>0</v>
      </c>
      <c r="BC27" s="606"/>
      <c r="BD27" s="606">
        <f t="shared" ref="BD27:BD31" si="40">SUM(AX27:BB27)</f>
        <v>-1.3298025289016575</v>
      </c>
      <c r="BE27" s="606"/>
      <c r="BF27" s="712">
        <f>+BD27*$BF$9</f>
        <v>-1.8465273589094393</v>
      </c>
      <c r="BG27" s="610"/>
      <c r="BH27" s="590">
        <f t="shared" si="34"/>
        <v>201</v>
      </c>
    </row>
    <row r="28" spans="1:60" ht="14.5">
      <c r="A28" s="590">
        <f t="shared" si="14"/>
        <v>202</v>
      </c>
      <c r="B28" s="622" t="s">
        <v>1789</v>
      </c>
      <c r="C28" s="588"/>
      <c r="D28" s="588" t="s">
        <v>1765</v>
      </c>
      <c r="E28" s="590"/>
      <c r="F28" s="706" t="s">
        <v>1766</v>
      </c>
      <c r="G28" s="590"/>
      <c r="H28" s="723"/>
      <c r="I28" s="590"/>
      <c r="J28" s="620">
        <v>-1580569733.7014818</v>
      </c>
      <c r="K28" s="606"/>
      <c r="L28" s="620">
        <v>-947208768.22001982</v>
      </c>
      <c r="M28" s="606"/>
      <c r="N28" s="620">
        <v>-633360965.481462</v>
      </c>
      <c r="O28" s="590"/>
      <c r="P28" s="706" t="s">
        <v>1762</v>
      </c>
      <c r="Q28" s="590"/>
      <c r="R28" s="606">
        <f t="shared" ref="R28:R29" si="41">N28</f>
        <v>-633360965.481462</v>
      </c>
      <c r="S28" s="606"/>
      <c r="T28" s="606">
        <v>0</v>
      </c>
      <c r="U28" s="606"/>
      <c r="V28" s="606">
        <v>0</v>
      </c>
      <c r="W28" s="606"/>
      <c r="X28" s="606">
        <f t="shared" si="35"/>
        <v>-633360965.481462</v>
      </c>
      <c r="Y28" s="606"/>
      <c r="Z28" s="607" t="s">
        <v>1560</v>
      </c>
      <c r="AA28" s="606"/>
      <c r="AB28" s="620">
        <v>-41554073.877684623</v>
      </c>
      <c r="AC28" s="606"/>
      <c r="AD28" s="606">
        <v>0</v>
      </c>
      <c r="AE28" s="606"/>
      <c r="AF28" s="606">
        <v>0</v>
      </c>
      <c r="AG28" s="606"/>
      <c r="AH28" s="607" t="s">
        <v>1772</v>
      </c>
      <c r="AI28" s="606"/>
      <c r="AJ28" s="605">
        <f t="shared" si="36"/>
        <v>-591806891.60377741</v>
      </c>
      <c r="AK28" s="606"/>
      <c r="AL28" s="605">
        <f t="shared" si="37"/>
        <v>0</v>
      </c>
      <c r="AM28" s="606"/>
      <c r="AN28" s="605">
        <f t="shared" si="38"/>
        <v>0</v>
      </c>
      <c r="AO28" s="606"/>
      <c r="AP28" s="606">
        <f t="shared" si="39"/>
        <v>-591806891.60377741</v>
      </c>
      <c r="AQ28" s="606"/>
      <c r="AR28" s="620">
        <v>-8715587.9304530751</v>
      </c>
      <c r="AS28" s="606"/>
      <c r="AT28" s="606">
        <v>0</v>
      </c>
      <c r="AU28" s="606"/>
      <c r="AV28" s="606">
        <v>0</v>
      </c>
      <c r="AW28" s="606"/>
      <c r="AX28" s="605">
        <f>+AJ28-AR28</f>
        <v>-583091303.67332435</v>
      </c>
      <c r="AY28" s="606"/>
      <c r="AZ28" s="605">
        <f>+AL28-AT28</f>
        <v>0</v>
      </c>
      <c r="BA28" s="606"/>
      <c r="BB28" s="605">
        <f>+AN28-AV28</f>
        <v>0</v>
      </c>
      <c r="BC28" s="606"/>
      <c r="BD28" s="606">
        <f t="shared" si="40"/>
        <v>-583091303.67332435</v>
      </c>
      <c r="BE28" s="606"/>
      <c r="BF28" s="712">
        <f t="shared" ref="BF28:BF31" si="42">+BD28*$BF$9</f>
        <v>-809664609.27417135</v>
      </c>
      <c r="BG28" s="610"/>
      <c r="BH28" s="590">
        <f t="shared" si="34"/>
        <v>202</v>
      </c>
    </row>
    <row r="29" spans="1:60" ht="14.5">
      <c r="A29" s="590">
        <f t="shared" si="14"/>
        <v>203</v>
      </c>
      <c r="B29" s="622" t="s">
        <v>1790</v>
      </c>
      <c r="C29" s="588"/>
      <c r="D29" s="588" t="s">
        <v>1765</v>
      </c>
      <c r="E29" s="590"/>
      <c r="F29" s="706" t="s">
        <v>1766</v>
      </c>
      <c r="G29" s="590"/>
      <c r="H29" s="723"/>
      <c r="I29" s="590"/>
      <c r="J29" s="620">
        <v>62793380.796865478</v>
      </c>
      <c r="K29" s="606"/>
      <c r="L29" s="620">
        <v>37361787.897573374</v>
      </c>
      <c r="M29" s="606"/>
      <c r="N29" s="620">
        <v>25431592.899292093</v>
      </c>
      <c r="O29" s="590"/>
      <c r="P29" s="706" t="s">
        <v>1762</v>
      </c>
      <c r="Q29" s="590"/>
      <c r="R29" s="606">
        <f t="shared" si="41"/>
        <v>25431592.899292093</v>
      </c>
      <c r="S29" s="606"/>
      <c r="T29" s="606">
        <v>0</v>
      </c>
      <c r="U29" s="606"/>
      <c r="V29" s="606">
        <v>0</v>
      </c>
      <c r="W29" s="606"/>
      <c r="X29" s="606">
        <f t="shared" si="35"/>
        <v>25431592.899292093</v>
      </c>
      <c r="Y29" s="606"/>
      <c r="Z29" s="607" t="s">
        <v>1560</v>
      </c>
      <c r="AA29" s="606"/>
      <c r="AB29" s="620">
        <v>1668537.1340512689</v>
      </c>
      <c r="AC29" s="606"/>
      <c r="AD29" s="606">
        <v>0</v>
      </c>
      <c r="AE29" s="606"/>
      <c r="AF29" s="606">
        <v>0</v>
      </c>
      <c r="AG29" s="606"/>
      <c r="AH29" s="607" t="s">
        <v>1772</v>
      </c>
      <c r="AI29" s="606"/>
      <c r="AJ29" s="605">
        <f t="shared" si="36"/>
        <v>23763055.765240826</v>
      </c>
      <c r="AK29" s="606"/>
      <c r="AL29" s="605">
        <f t="shared" si="37"/>
        <v>0</v>
      </c>
      <c r="AM29" s="606"/>
      <c r="AN29" s="605">
        <f t="shared" si="38"/>
        <v>0</v>
      </c>
      <c r="AO29" s="606"/>
      <c r="AP29" s="606">
        <f t="shared" si="39"/>
        <v>23763055.765240826</v>
      </c>
      <c r="AQ29" s="606"/>
      <c r="AR29" s="620">
        <v>349960.4431049421</v>
      </c>
      <c r="AS29" s="606"/>
      <c r="AT29" s="606">
        <v>0</v>
      </c>
      <c r="AU29" s="606"/>
      <c r="AV29" s="606">
        <v>0</v>
      </c>
      <c r="AW29" s="606"/>
      <c r="AX29" s="605">
        <f>+AJ29-AR29</f>
        <v>23413095.322135884</v>
      </c>
      <c r="AY29" s="606"/>
      <c r="AZ29" s="605">
        <f>+AL29-AT29</f>
        <v>0</v>
      </c>
      <c r="BA29" s="606"/>
      <c r="BB29" s="605">
        <f>+AN29-AV29</f>
        <v>0</v>
      </c>
      <c r="BC29" s="606"/>
      <c r="BD29" s="606">
        <f t="shared" si="40"/>
        <v>23413095.322135884</v>
      </c>
      <c r="BE29" s="606"/>
      <c r="BF29" s="712">
        <f t="shared" si="42"/>
        <v>32510782.713570636</v>
      </c>
      <c r="BG29" s="610"/>
      <c r="BH29" s="590">
        <f t="shared" si="34"/>
        <v>203</v>
      </c>
    </row>
    <row r="30" spans="1:60" ht="14.5">
      <c r="A30" s="590">
        <f t="shared" si="14"/>
        <v>204</v>
      </c>
      <c r="B30" s="621"/>
      <c r="C30" s="588"/>
      <c r="D30" s="590"/>
      <c r="E30" s="590"/>
      <c r="F30" s="590"/>
      <c r="G30" s="590"/>
      <c r="H30" s="723"/>
      <c r="I30" s="590"/>
      <c r="J30" s="620"/>
      <c r="K30" s="606"/>
      <c r="L30" s="620"/>
      <c r="M30" s="606"/>
      <c r="N30" s="620"/>
      <c r="O30" s="590"/>
      <c r="P30" s="590"/>
      <c r="Q30" s="590"/>
      <c r="R30" s="606">
        <v>0</v>
      </c>
      <c r="S30" s="606"/>
      <c r="T30" s="606">
        <v>0</v>
      </c>
      <c r="U30" s="606"/>
      <c r="V30" s="606">
        <v>0</v>
      </c>
      <c r="W30" s="606"/>
      <c r="X30" s="606">
        <f t="shared" si="35"/>
        <v>0</v>
      </c>
      <c r="Y30" s="606"/>
      <c r="Z30" s="712"/>
      <c r="AA30" s="606"/>
      <c r="AB30" s="620">
        <v>0</v>
      </c>
      <c r="AC30" s="606"/>
      <c r="AD30" s="606">
        <v>0</v>
      </c>
      <c r="AE30" s="606"/>
      <c r="AF30" s="606">
        <v>0</v>
      </c>
      <c r="AG30" s="606"/>
      <c r="AH30" s="712"/>
      <c r="AI30" s="606"/>
      <c r="AJ30" s="605">
        <f t="shared" si="36"/>
        <v>0</v>
      </c>
      <c r="AK30" s="606"/>
      <c r="AL30" s="605">
        <f t="shared" si="37"/>
        <v>0</v>
      </c>
      <c r="AM30" s="606"/>
      <c r="AN30" s="605">
        <f t="shared" si="38"/>
        <v>0</v>
      </c>
      <c r="AO30" s="606"/>
      <c r="AP30" s="606">
        <f t="shared" si="39"/>
        <v>0</v>
      </c>
      <c r="AQ30" s="606"/>
      <c r="AR30" s="620"/>
      <c r="AS30" s="606"/>
      <c r="AT30" s="606">
        <v>0</v>
      </c>
      <c r="AU30" s="606"/>
      <c r="AV30" s="606">
        <v>0</v>
      </c>
      <c r="AW30" s="606"/>
      <c r="AX30" s="605">
        <f>+AJ30-AR30</f>
        <v>0</v>
      </c>
      <c r="AY30" s="606"/>
      <c r="AZ30" s="605">
        <f>+AL30-AT30</f>
        <v>0</v>
      </c>
      <c r="BA30" s="606"/>
      <c r="BB30" s="605">
        <f>+AN30-AV30</f>
        <v>0</v>
      </c>
      <c r="BC30" s="606"/>
      <c r="BD30" s="606">
        <f t="shared" si="40"/>
        <v>0</v>
      </c>
      <c r="BE30" s="606"/>
      <c r="BF30" s="712">
        <f t="shared" si="42"/>
        <v>0</v>
      </c>
      <c r="BG30" s="610"/>
      <c r="BH30" s="590">
        <f t="shared" si="34"/>
        <v>204</v>
      </c>
    </row>
    <row r="31" spans="1:60" ht="14.5">
      <c r="A31" s="590">
        <f>+A30+1</f>
        <v>205</v>
      </c>
      <c r="B31" s="621"/>
      <c r="C31" s="614"/>
      <c r="D31" s="588"/>
      <c r="E31" s="588"/>
      <c r="F31" s="706"/>
      <c r="G31" s="588"/>
      <c r="H31" s="723"/>
      <c r="I31" s="588"/>
      <c r="J31" s="620"/>
      <c r="K31" s="606"/>
      <c r="L31" s="620"/>
      <c r="M31" s="606"/>
      <c r="N31" s="620"/>
      <c r="O31" s="588"/>
      <c r="P31" s="702"/>
      <c r="Q31" s="588"/>
      <c r="R31" s="606">
        <v>0</v>
      </c>
      <c r="S31" s="606"/>
      <c r="T31" s="606">
        <v>0</v>
      </c>
      <c r="U31" s="606"/>
      <c r="V31" s="606">
        <v>0</v>
      </c>
      <c r="W31" s="606"/>
      <c r="X31" s="606">
        <f t="shared" si="35"/>
        <v>0</v>
      </c>
      <c r="Y31" s="606"/>
      <c r="Z31" s="712"/>
      <c r="AA31" s="606"/>
      <c r="AB31" s="620">
        <v>0</v>
      </c>
      <c r="AC31" s="606"/>
      <c r="AD31" s="606">
        <v>0</v>
      </c>
      <c r="AE31" s="606"/>
      <c r="AF31" s="606">
        <v>0</v>
      </c>
      <c r="AG31" s="606"/>
      <c r="AH31" s="712"/>
      <c r="AI31" s="606"/>
      <c r="AJ31" s="605">
        <f t="shared" si="36"/>
        <v>0</v>
      </c>
      <c r="AK31" s="606"/>
      <c r="AL31" s="605">
        <f t="shared" si="37"/>
        <v>0</v>
      </c>
      <c r="AM31" s="606"/>
      <c r="AN31" s="605">
        <f t="shared" si="38"/>
        <v>0</v>
      </c>
      <c r="AO31" s="606"/>
      <c r="AP31" s="606">
        <f t="shared" si="39"/>
        <v>0</v>
      </c>
      <c r="AQ31" s="615"/>
      <c r="AR31" s="620"/>
      <c r="AS31" s="606"/>
      <c r="AT31" s="606">
        <v>0</v>
      </c>
      <c r="AU31" s="606"/>
      <c r="AV31" s="606">
        <v>0</v>
      </c>
      <c r="AW31" s="606"/>
      <c r="AX31" s="605">
        <f>+AJ31-AR31</f>
        <v>0</v>
      </c>
      <c r="AY31" s="606"/>
      <c r="AZ31" s="605">
        <f>+AL31-AT31</f>
        <v>0</v>
      </c>
      <c r="BA31" s="606"/>
      <c r="BB31" s="605">
        <f>+AN31-AV31</f>
        <v>0</v>
      </c>
      <c r="BC31" s="606"/>
      <c r="BD31" s="606">
        <f t="shared" si="40"/>
        <v>0</v>
      </c>
      <c r="BE31" s="615"/>
      <c r="BF31" s="712">
        <f t="shared" si="42"/>
        <v>0</v>
      </c>
      <c r="BG31" s="588"/>
      <c r="BH31" s="590">
        <f t="shared" si="34"/>
        <v>205</v>
      </c>
    </row>
    <row r="32" spans="1:60" ht="14.5">
      <c r="A32" s="590"/>
      <c r="B32" s="595"/>
      <c r="C32" s="614"/>
      <c r="D32" s="588"/>
      <c r="E32" s="588"/>
      <c r="F32" s="706"/>
      <c r="G32" s="588"/>
      <c r="H32" s="712"/>
      <c r="I32" s="588"/>
      <c r="J32" s="606"/>
      <c r="K32" s="606"/>
      <c r="L32" s="606"/>
      <c r="M32" s="606"/>
      <c r="N32" s="606"/>
      <c r="O32" s="588"/>
      <c r="P32" s="702"/>
      <c r="Q32" s="588"/>
      <c r="R32" s="606"/>
      <c r="S32" s="606"/>
      <c r="T32" s="606"/>
      <c r="U32" s="606"/>
      <c r="V32" s="606"/>
      <c r="W32" s="606"/>
      <c r="X32" s="606"/>
      <c r="Y32" s="606"/>
      <c r="Z32" s="712"/>
      <c r="AA32" s="606"/>
      <c r="AB32" s="606"/>
      <c r="AC32" s="606"/>
      <c r="AD32" s="606"/>
      <c r="AE32" s="606"/>
      <c r="AF32" s="606"/>
      <c r="AG32" s="606"/>
      <c r="AH32" s="712"/>
      <c r="AI32" s="606"/>
      <c r="AJ32" s="606"/>
      <c r="AK32" s="606"/>
      <c r="AL32" s="606"/>
      <c r="AM32" s="606"/>
      <c r="AN32" s="606"/>
      <c r="AO32" s="606"/>
      <c r="AP32" s="606"/>
      <c r="AQ32" s="615"/>
      <c r="AR32" s="606"/>
      <c r="AS32" s="606"/>
      <c r="AT32" s="606"/>
      <c r="AU32" s="606"/>
      <c r="AV32" s="606"/>
      <c r="AW32" s="606"/>
      <c r="AX32" s="606"/>
      <c r="AY32" s="606"/>
      <c r="AZ32" s="606"/>
      <c r="BA32" s="606"/>
      <c r="BB32" s="606"/>
      <c r="BC32" s="606"/>
      <c r="BD32" s="606"/>
      <c r="BE32" s="615"/>
      <c r="BF32" s="712"/>
      <c r="BG32" s="588"/>
      <c r="BH32" s="590"/>
    </row>
    <row r="33" spans="1:60" ht="14.5">
      <c r="A33" s="323" t="s">
        <v>124</v>
      </c>
      <c r="B33" s="587"/>
      <c r="F33" s="715"/>
      <c r="H33" s="705"/>
      <c r="BH33" s="616" t="s">
        <v>124</v>
      </c>
    </row>
    <row r="34" spans="1:60" ht="14.5">
      <c r="A34" s="590">
        <v>300</v>
      </c>
      <c r="B34" s="588" t="s">
        <v>1568</v>
      </c>
      <c r="F34" s="715"/>
      <c r="H34" s="721">
        <f>SUM(H35:H39)</f>
        <v>0</v>
      </c>
      <c r="J34" s="609">
        <f>SUM(J35:J39)</f>
        <v>0</v>
      </c>
      <c r="K34" s="606"/>
      <c r="L34" s="609">
        <f>SUM(L35:L39)</f>
        <v>0</v>
      </c>
      <c r="M34" s="606"/>
      <c r="N34" s="609">
        <f>SUM(N35:N39)</f>
        <v>0</v>
      </c>
      <c r="O34" s="590"/>
      <c r="P34" s="590"/>
      <c r="Q34" s="590"/>
      <c r="R34" s="609">
        <f>SUM(R35:R39)</f>
        <v>0</v>
      </c>
      <c r="S34" s="606"/>
      <c r="T34" s="609">
        <f>SUM(T35:T39)</f>
        <v>0</v>
      </c>
      <c r="U34" s="606"/>
      <c r="V34" s="609">
        <f>SUM(V35:V39)</f>
        <v>0</v>
      </c>
      <c r="W34" s="606"/>
      <c r="X34" s="609">
        <f>SUM(X35:X39)</f>
        <v>0</v>
      </c>
      <c r="Y34" s="606"/>
      <c r="Z34" s="712"/>
      <c r="AA34" s="606"/>
      <c r="AB34" s="609">
        <f>SUM(AB35:AB39)</f>
        <v>0</v>
      </c>
      <c r="AC34" s="606"/>
      <c r="AD34" s="609">
        <f>SUM(AD35:AD39)</f>
        <v>0</v>
      </c>
      <c r="AE34" s="606"/>
      <c r="AF34" s="609">
        <f>SUM(AF35:AF39)</f>
        <v>0</v>
      </c>
      <c r="AG34" s="606"/>
      <c r="AH34" s="712"/>
      <c r="AI34" s="606"/>
      <c r="AJ34" s="609">
        <f>SUM(AJ35:AJ39)</f>
        <v>0</v>
      </c>
      <c r="AK34" s="606"/>
      <c r="AL34" s="609">
        <f>SUM(AL35:AL39)</f>
        <v>0</v>
      </c>
      <c r="AM34" s="606"/>
      <c r="AN34" s="609">
        <f>SUM(AN35:AN39)</f>
        <v>0</v>
      </c>
      <c r="AO34" s="606"/>
      <c r="AP34" s="609">
        <f>SUM(AP35:AP39)</f>
        <v>0</v>
      </c>
      <c r="AR34" s="609">
        <f>SUM(AR35:AR39)</f>
        <v>0</v>
      </c>
      <c r="AS34" s="606"/>
      <c r="AT34" s="609">
        <f>SUM(AT35:AT39)</f>
        <v>0</v>
      </c>
      <c r="AU34" s="606"/>
      <c r="AV34" s="609">
        <f>SUM(AV35:AV39)</f>
        <v>0</v>
      </c>
      <c r="AW34" s="606"/>
      <c r="AX34" s="609">
        <f>SUM(AX35:AX39)</f>
        <v>0</v>
      </c>
      <c r="AY34" s="606"/>
      <c r="AZ34" s="609">
        <f>SUM(AZ35:AZ39)</f>
        <v>0</v>
      </c>
      <c r="BA34" s="606"/>
      <c r="BB34" s="609">
        <f>SUM(BB35:BB39)</f>
        <v>0</v>
      </c>
      <c r="BC34" s="606"/>
      <c r="BD34" s="609">
        <f>SUM(BD35:BD39)</f>
        <v>0</v>
      </c>
      <c r="BF34" s="721">
        <f>SUM(BF35:BF39)</f>
        <v>0</v>
      </c>
      <c r="BH34" s="590">
        <f t="shared" ref="BH34:BH39" si="43">A34</f>
        <v>300</v>
      </c>
    </row>
    <row r="35" spans="1:60" ht="14.5">
      <c r="A35" s="590">
        <f t="shared" ref="A35:A38" si="44">A34+1</f>
        <v>301</v>
      </c>
      <c r="B35" s="634" t="s">
        <v>1791</v>
      </c>
      <c r="D35" s="710" t="s">
        <v>1777</v>
      </c>
      <c r="F35" s="715" t="s">
        <v>1766</v>
      </c>
      <c r="H35" s="723"/>
      <c r="J35" s="620">
        <v>0</v>
      </c>
      <c r="K35" s="606"/>
      <c r="L35" s="620">
        <v>0</v>
      </c>
      <c r="M35" s="606"/>
      <c r="N35" s="620">
        <v>0</v>
      </c>
      <c r="P35" s="706" t="s">
        <v>1762</v>
      </c>
      <c r="R35" s="606">
        <f t="shared" ref="R35:R39" si="45">N35</f>
        <v>0</v>
      </c>
      <c r="S35" s="606"/>
      <c r="T35" s="606">
        <v>0</v>
      </c>
      <c r="U35" s="606"/>
      <c r="V35" s="606">
        <v>0</v>
      </c>
      <c r="W35" s="606"/>
      <c r="X35" s="606">
        <f>SUM(R35:V35)</f>
        <v>0</v>
      </c>
      <c r="Y35" s="606"/>
      <c r="Z35" s="712"/>
      <c r="AA35" s="606"/>
      <c r="AB35" s="620"/>
      <c r="AC35" s="606"/>
      <c r="AD35" s="620"/>
      <c r="AE35" s="606"/>
      <c r="AF35" s="606">
        <v>0</v>
      </c>
      <c r="AG35" s="606"/>
      <c r="AH35" s="712"/>
      <c r="AI35" s="606"/>
      <c r="AJ35" s="605">
        <f t="shared" ref="AJ35:AJ39" si="46">+R35-AB35</f>
        <v>0</v>
      </c>
      <c r="AK35" s="606"/>
      <c r="AL35" s="605">
        <f t="shared" ref="AL35:AL39" si="47">+T35-AD35</f>
        <v>0</v>
      </c>
      <c r="AM35" s="606"/>
      <c r="AN35" s="605">
        <f t="shared" ref="AN35:AN39" si="48">+V35-AF35</f>
        <v>0</v>
      </c>
      <c r="AO35" s="606"/>
      <c r="AP35" s="606">
        <f t="shared" ref="AP35:AP39" si="49">SUM(AJ35:AN35)</f>
        <v>0</v>
      </c>
      <c r="AR35" s="620"/>
      <c r="AS35" s="606"/>
      <c r="AT35" s="620"/>
      <c r="AU35" s="606"/>
      <c r="AV35" s="606">
        <v>0</v>
      </c>
      <c r="AW35" s="606"/>
      <c r="AX35" s="605">
        <f>+AJ35-AR35</f>
        <v>0</v>
      </c>
      <c r="AY35" s="606"/>
      <c r="AZ35" s="605">
        <f>+AL35-AT35</f>
        <v>0</v>
      </c>
      <c r="BA35" s="606"/>
      <c r="BB35" s="605">
        <f>+AN35-AV35</f>
        <v>0</v>
      </c>
      <c r="BC35" s="606"/>
      <c r="BD35" s="606">
        <f t="shared" ref="BD35:BD39" si="50">SUM(AX35:BB35)</f>
        <v>0</v>
      </c>
      <c r="BF35" s="712">
        <f t="shared" ref="BF35:BF39" si="51">+BD35*$BF$9</f>
        <v>0</v>
      </c>
      <c r="BH35" s="590">
        <f t="shared" si="43"/>
        <v>301</v>
      </c>
    </row>
    <row r="36" spans="1:60" ht="14.5">
      <c r="A36" s="590">
        <f t="shared" si="44"/>
        <v>302</v>
      </c>
      <c r="B36" s="634" t="s">
        <v>1791</v>
      </c>
      <c r="D36" s="710" t="s">
        <v>1777</v>
      </c>
      <c r="F36" s="715" t="s">
        <v>1766</v>
      </c>
      <c r="H36" s="723"/>
      <c r="J36" s="620">
        <v>0</v>
      </c>
      <c r="K36" s="606"/>
      <c r="L36" s="620">
        <v>0</v>
      </c>
      <c r="M36" s="606"/>
      <c r="N36" s="620">
        <v>0</v>
      </c>
      <c r="P36" s="706" t="s">
        <v>1762</v>
      </c>
      <c r="R36" s="606">
        <f t="shared" si="45"/>
        <v>0</v>
      </c>
      <c r="S36" s="606"/>
      <c r="T36" s="606">
        <v>0</v>
      </c>
      <c r="U36" s="606"/>
      <c r="V36" s="606">
        <v>0</v>
      </c>
      <c r="W36" s="606"/>
      <c r="X36" s="606">
        <f t="shared" ref="X36:X39" si="52">SUM(R36:V36)</f>
        <v>0</v>
      </c>
      <c r="Y36" s="606"/>
      <c r="Z36" s="712"/>
      <c r="AA36" s="606"/>
      <c r="AB36" s="620"/>
      <c r="AC36" s="606"/>
      <c r="AD36" s="620"/>
      <c r="AE36" s="606"/>
      <c r="AF36" s="606">
        <v>0</v>
      </c>
      <c r="AG36" s="606"/>
      <c r="AH36" s="712"/>
      <c r="AI36" s="606"/>
      <c r="AJ36" s="605">
        <f t="shared" si="46"/>
        <v>0</v>
      </c>
      <c r="AK36" s="606"/>
      <c r="AL36" s="605">
        <f t="shared" si="47"/>
        <v>0</v>
      </c>
      <c r="AM36" s="606"/>
      <c r="AN36" s="605">
        <f t="shared" si="48"/>
        <v>0</v>
      </c>
      <c r="AO36" s="606"/>
      <c r="AP36" s="606">
        <f t="shared" si="49"/>
        <v>0</v>
      </c>
      <c r="AR36" s="620"/>
      <c r="AS36" s="606"/>
      <c r="AT36" s="620"/>
      <c r="AU36" s="606"/>
      <c r="AV36" s="606">
        <v>0</v>
      </c>
      <c r="AW36" s="606"/>
      <c r="AX36" s="605">
        <f>+AJ36-AR36</f>
        <v>0</v>
      </c>
      <c r="AY36" s="606"/>
      <c r="AZ36" s="605">
        <f>+AL36-AT36</f>
        <v>0</v>
      </c>
      <c r="BA36" s="606"/>
      <c r="BB36" s="605">
        <f>+AN36-AV36</f>
        <v>0</v>
      </c>
      <c r="BC36" s="606"/>
      <c r="BD36" s="606">
        <f t="shared" si="50"/>
        <v>0</v>
      </c>
      <c r="BF36" s="712">
        <f t="shared" si="51"/>
        <v>0</v>
      </c>
      <c r="BH36" s="590">
        <f t="shared" si="43"/>
        <v>302</v>
      </c>
    </row>
    <row r="37" spans="1:60" ht="14.5">
      <c r="A37" s="590">
        <f t="shared" si="44"/>
        <v>303</v>
      </c>
      <c r="B37" s="634" t="s">
        <v>1791</v>
      </c>
      <c r="D37" s="710" t="s">
        <v>1777</v>
      </c>
      <c r="F37" s="715" t="s">
        <v>1766</v>
      </c>
      <c r="H37" s="723"/>
      <c r="J37" s="620">
        <v>0</v>
      </c>
      <c r="K37" s="606"/>
      <c r="L37" s="620">
        <v>0</v>
      </c>
      <c r="M37" s="606"/>
      <c r="N37" s="620">
        <v>0</v>
      </c>
      <c r="P37" s="706" t="s">
        <v>1762</v>
      </c>
      <c r="R37" s="606">
        <f t="shared" si="45"/>
        <v>0</v>
      </c>
      <c r="S37" s="606"/>
      <c r="T37" s="606">
        <v>0</v>
      </c>
      <c r="U37" s="606"/>
      <c r="V37" s="606">
        <v>0</v>
      </c>
      <c r="W37" s="606"/>
      <c r="X37" s="606">
        <f t="shared" si="52"/>
        <v>0</v>
      </c>
      <c r="Y37" s="606"/>
      <c r="Z37" s="712"/>
      <c r="AA37" s="606"/>
      <c r="AB37" s="620"/>
      <c r="AC37" s="606"/>
      <c r="AD37" s="620"/>
      <c r="AE37" s="606"/>
      <c r="AF37" s="606">
        <v>0</v>
      </c>
      <c r="AG37" s="606"/>
      <c r="AH37" s="712"/>
      <c r="AI37" s="606"/>
      <c r="AJ37" s="605">
        <f t="shared" si="46"/>
        <v>0</v>
      </c>
      <c r="AK37" s="606"/>
      <c r="AL37" s="605">
        <f t="shared" si="47"/>
        <v>0</v>
      </c>
      <c r="AM37" s="606"/>
      <c r="AN37" s="605">
        <f t="shared" si="48"/>
        <v>0</v>
      </c>
      <c r="AO37" s="606"/>
      <c r="AP37" s="606">
        <f t="shared" si="49"/>
        <v>0</v>
      </c>
      <c r="AR37" s="620"/>
      <c r="AS37" s="606"/>
      <c r="AT37" s="620"/>
      <c r="AU37" s="606"/>
      <c r="AV37" s="606">
        <v>0</v>
      </c>
      <c r="AW37" s="606"/>
      <c r="AX37" s="605">
        <f>+AJ37-AR37</f>
        <v>0</v>
      </c>
      <c r="AY37" s="606"/>
      <c r="AZ37" s="605">
        <f>+AL37-AT37</f>
        <v>0</v>
      </c>
      <c r="BA37" s="606"/>
      <c r="BB37" s="605">
        <f>+AN37-AV37</f>
        <v>0</v>
      </c>
      <c r="BC37" s="606"/>
      <c r="BD37" s="606">
        <f t="shared" si="50"/>
        <v>0</v>
      </c>
      <c r="BF37" s="712">
        <f t="shared" si="51"/>
        <v>0</v>
      </c>
      <c r="BH37" s="590">
        <f t="shared" si="43"/>
        <v>303</v>
      </c>
    </row>
    <row r="38" spans="1:60" ht="14.5">
      <c r="A38" s="590">
        <f t="shared" si="44"/>
        <v>304</v>
      </c>
      <c r="B38" s="621"/>
      <c r="F38" s="715"/>
      <c r="H38" s="723"/>
      <c r="J38" s="620"/>
      <c r="K38" s="606"/>
      <c r="L38" s="620"/>
      <c r="M38" s="606"/>
      <c r="N38" s="620"/>
      <c r="R38" s="606">
        <f t="shared" si="45"/>
        <v>0</v>
      </c>
      <c r="S38" s="606"/>
      <c r="T38" s="606">
        <v>0</v>
      </c>
      <c r="U38" s="606"/>
      <c r="V38" s="606">
        <v>0</v>
      </c>
      <c r="W38" s="606"/>
      <c r="X38" s="606">
        <f t="shared" si="52"/>
        <v>0</v>
      </c>
      <c r="Y38" s="606"/>
      <c r="Z38" s="712"/>
      <c r="AA38" s="606"/>
      <c r="AB38" s="620"/>
      <c r="AC38" s="606"/>
      <c r="AD38" s="620"/>
      <c r="AE38" s="606"/>
      <c r="AF38" s="606">
        <v>0</v>
      </c>
      <c r="AG38" s="606"/>
      <c r="AH38" s="712"/>
      <c r="AI38" s="606"/>
      <c r="AJ38" s="605">
        <f t="shared" si="46"/>
        <v>0</v>
      </c>
      <c r="AK38" s="606"/>
      <c r="AL38" s="605">
        <f t="shared" si="47"/>
        <v>0</v>
      </c>
      <c r="AM38" s="606"/>
      <c r="AN38" s="605">
        <f t="shared" si="48"/>
        <v>0</v>
      </c>
      <c r="AO38" s="606"/>
      <c r="AP38" s="606">
        <f t="shared" si="49"/>
        <v>0</v>
      </c>
      <c r="AR38" s="620"/>
      <c r="AS38" s="606"/>
      <c r="AT38" s="620"/>
      <c r="AU38" s="606"/>
      <c r="AV38" s="606">
        <v>0</v>
      </c>
      <c r="AW38" s="606"/>
      <c r="AX38" s="605">
        <f>+AJ38-AR38</f>
        <v>0</v>
      </c>
      <c r="AY38" s="606"/>
      <c r="AZ38" s="605">
        <f>+AL38-AT38</f>
        <v>0</v>
      </c>
      <c r="BA38" s="606"/>
      <c r="BB38" s="605">
        <f>+AN38-AV38</f>
        <v>0</v>
      </c>
      <c r="BC38" s="606"/>
      <c r="BD38" s="606">
        <f t="shared" si="50"/>
        <v>0</v>
      </c>
      <c r="BF38" s="712">
        <f t="shared" si="51"/>
        <v>0</v>
      </c>
      <c r="BH38" s="590">
        <f t="shared" si="43"/>
        <v>304</v>
      </c>
    </row>
    <row r="39" spans="1:60" ht="14.5">
      <c r="A39" s="590">
        <f>+A38+1</f>
        <v>305</v>
      </c>
      <c r="B39" s="621"/>
      <c r="F39" s="715"/>
      <c r="H39" s="723"/>
      <c r="J39" s="620"/>
      <c r="K39" s="606"/>
      <c r="L39" s="620"/>
      <c r="M39" s="606"/>
      <c r="N39" s="620"/>
      <c r="R39" s="606">
        <f t="shared" si="45"/>
        <v>0</v>
      </c>
      <c r="S39" s="606"/>
      <c r="T39" s="606">
        <v>0</v>
      </c>
      <c r="U39" s="606"/>
      <c r="V39" s="606">
        <v>0</v>
      </c>
      <c r="W39" s="606"/>
      <c r="X39" s="606">
        <f t="shared" si="52"/>
        <v>0</v>
      </c>
      <c r="Y39" s="606"/>
      <c r="Z39" s="712"/>
      <c r="AA39" s="606"/>
      <c r="AB39" s="620"/>
      <c r="AC39" s="606"/>
      <c r="AD39" s="620"/>
      <c r="AE39" s="606"/>
      <c r="AF39" s="606">
        <v>0</v>
      </c>
      <c r="AG39" s="606"/>
      <c r="AH39" s="712"/>
      <c r="AI39" s="606"/>
      <c r="AJ39" s="605">
        <f t="shared" si="46"/>
        <v>0</v>
      </c>
      <c r="AK39" s="606"/>
      <c r="AL39" s="605">
        <f t="shared" si="47"/>
        <v>0</v>
      </c>
      <c r="AM39" s="606"/>
      <c r="AN39" s="605">
        <f t="shared" si="48"/>
        <v>0</v>
      </c>
      <c r="AO39" s="606"/>
      <c r="AP39" s="606">
        <f t="shared" si="49"/>
        <v>0</v>
      </c>
      <c r="AR39" s="620"/>
      <c r="AS39" s="606"/>
      <c r="AT39" s="620"/>
      <c r="AU39" s="606"/>
      <c r="AV39" s="606">
        <v>0</v>
      </c>
      <c r="AW39" s="606"/>
      <c r="AX39" s="605">
        <f>+AJ39-AR39</f>
        <v>0</v>
      </c>
      <c r="AY39" s="606"/>
      <c r="AZ39" s="605">
        <f>+AL39-AT39</f>
        <v>0</v>
      </c>
      <c r="BA39" s="606"/>
      <c r="BB39" s="605">
        <f>+AN39-AV39</f>
        <v>0</v>
      </c>
      <c r="BC39" s="606"/>
      <c r="BD39" s="606">
        <f t="shared" si="50"/>
        <v>0</v>
      </c>
      <c r="BF39" s="712">
        <f t="shared" si="51"/>
        <v>0</v>
      </c>
      <c r="BH39" s="590">
        <f t="shared" si="43"/>
        <v>305</v>
      </c>
    </row>
    <row r="40" spans="1:60" ht="14.5">
      <c r="A40" s="590"/>
      <c r="B40" s="595"/>
      <c r="F40" s="715"/>
      <c r="H40" s="712"/>
      <c r="J40" s="606"/>
      <c r="K40" s="606"/>
      <c r="L40" s="606"/>
      <c r="M40" s="606"/>
      <c r="N40" s="606"/>
      <c r="R40" s="606"/>
      <c r="S40" s="606"/>
      <c r="T40" s="606"/>
      <c r="U40" s="606"/>
      <c r="V40" s="606"/>
      <c r="W40" s="606"/>
      <c r="X40" s="606"/>
      <c r="Y40" s="606"/>
      <c r="Z40" s="712"/>
      <c r="AA40" s="606"/>
      <c r="AB40" s="606"/>
      <c r="AC40" s="606"/>
      <c r="AD40" s="606"/>
      <c r="AE40" s="606"/>
      <c r="AF40" s="606"/>
      <c r="AG40" s="606"/>
      <c r="AH40" s="712"/>
      <c r="AI40" s="606"/>
      <c r="AJ40" s="606"/>
      <c r="AK40" s="606"/>
      <c r="AL40" s="606"/>
      <c r="AM40" s="606"/>
      <c r="AN40" s="606"/>
      <c r="AO40" s="606"/>
      <c r="AP40" s="606"/>
      <c r="AR40" s="606"/>
      <c r="AS40" s="606"/>
      <c r="AT40" s="606"/>
      <c r="AU40" s="606"/>
      <c r="AV40" s="606"/>
      <c r="AW40" s="606"/>
      <c r="AX40" s="606"/>
      <c r="AY40" s="606"/>
      <c r="AZ40" s="606"/>
      <c r="BA40" s="606"/>
      <c r="BB40" s="606"/>
      <c r="BC40" s="606"/>
      <c r="BD40" s="606"/>
      <c r="BF40" s="712"/>
      <c r="BH40" s="590"/>
    </row>
    <row r="41" spans="1:60" ht="14.5">
      <c r="A41" s="323" t="s">
        <v>124</v>
      </c>
      <c r="F41" s="715"/>
      <c r="H41" s="705"/>
      <c r="R41" s="606"/>
      <c r="S41" s="606"/>
      <c r="T41" s="606"/>
      <c r="U41" s="606"/>
      <c r="V41" s="606"/>
      <c r="W41" s="606"/>
      <c r="X41" s="606"/>
      <c r="Y41" s="606"/>
      <c r="Z41" s="712"/>
      <c r="AA41" s="606"/>
      <c r="AC41" s="606"/>
      <c r="AE41" s="606"/>
      <c r="AG41" s="606"/>
      <c r="AH41" s="712"/>
      <c r="AI41" s="606"/>
      <c r="AJ41" s="606"/>
      <c r="AK41" s="606"/>
      <c r="AL41" s="606"/>
      <c r="AM41" s="606"/>
      <c r="AN41" s="606"/>
      <c r="AO41" s="606"/>
      <c r="AP41" s="606"/>
      <c r="AS41" s="606"/>
      <c r="AU41" s="606"/>
      <c r="AW41" s="606"/>
      <c r="AX41" s="606"/>
      <c r="AY41" s="606"/>
      <c r="AZ41" s="606"/>
      <c r="BA41" s="606"/>
      <c r="BB41" s="606"/>
      <c r="BC41" s="606"/>
      <c r="BD41" s="606"/>
      <c r="BH41" s="323" t="s">
        <v>124</v>
      </c>
    </row>
    <row r="42" spans="1:60" ht="14.5">
      <c r="A42" s="590">
        <v>400</v>
      </c>
      <c r="B42" s="588" t="s">
        <v>1569</v>
      </c>
      <c r="F42" s="715"/>
      <c r="H42" s="721">
        <f>ROUND(SUM(H43:H99),0)</f>
        <v>0</v>
      </c>
      <c r="J42" s="609">
        <f>ROUND(SUM(J43:J99),0)</f>
        <v>-346763385</v>
      </c>
      <c r="K42" s="606"/>
      <c r="L42" s="609">
        <f>ROUND(SUM(L43:L99),0)</f>
        <v>-206675379</v>
      </c>
      <c r="M42" s="606"/>
      <c r="N42" s="609">
        <f>ROUND(SUM(N43:N99),0)</f>
        <v>-140088006</v>
      </c>
      <c r="O42" s="590"/>
      <c r="P42" s="590"/>
      <c r="Q42" s="590"/>
      <c r="R42" s="609">
        <f>ROUND(SUM(R43:R99),0)</f>
        <v>0</v>
      </c>
      <c r="S42" s="606"/>
      <c r="T42" s="609">
        <f>ROUND(SUM(T43:T99),0)</f>
        <v>-140088006</v>
      </c>
      <c r="U42" s="606"/>
      <c r="V42" s="609">
        <f>ROUND(SUM(V43:V99),0)</f>
        <v>0</v>
      </c>
      <c r="W42" s="606"/>
      <c r="X42" s="609">
        <f>ROUND(SUM(X43:X99),0)</f>
        <v>-140088006</v>
      </c>
      <c r="Y42" s="606"/>
      <c r="Z42" s="712"/>
      <c r="AA42" s="606"/>
      <c r="AB42" s="609">
        <f>SUM(AB43:AB99)</f>
        <v>0</v>
      </c>
      <c r="AC42" s="606"/>
      <c r="AD42" s="609">
        <f>SUM(AD43:AD99)</f>
        <v>-49569502.895844482</v>
      </c>
      <c r="AE42" s="606"/>
      <c r="AF42" s="609">
        <f>SUM(AF43:AF99)</f>
        <v>0</v>
      </c>
      <c r="AG42" s="606"/>
      <c r="AH42" s="712"/>
      <c r="AI42" s="606"/>
      <c r="AJ42" s="609">
        <f>SUM(AJ43:AJ99)</f>
        <v>0</v>
      </c>
      <c r="AK42" s="606"/>
      <c r="AL42" s="609">
        <f>SUM(AL43:AL99)</f>
        <v>-90518503.125225246</v>
      </c>
      <c r="AM42" s="606"/>
      <c r="AN42" s="609">
        <f>SUM(AN43:AN99)</f>
        <v>0</v>
      </c>
      <c r="AO42" s="606"/>
      <c r="AP42" s="609">
        <f>SUM(AP43:AP99)</f>
        <v>-90518503.125225246</v>
      </c>
      <c r="AR42" s="609">
        <f>SUM(AR43:AR99)</f>
        <v>0</v>
      </c>
      <c r="AS42" s="606"/>
      <c r="AT42" s="609">
        <f>SUM(AT43:AT99)</f>
        <v>-14324173.144193165</v>
      </c>
      <c r="AU42" s="606"/>
      <c r="AV42" s="609">
        <f>SUM(AV43:AV99)</f>
        <v>0</v>
      </c>
      <c r="AW42" s="606"/>
      <c r="AX42" s="609">
        <f>SUM(AX43:AX99)</f>
        <v>0</v>
      </c>
      <c r="AY42" s="606"/>
      <c r="AZ42" s="609">
        <f>SUM(AZ43:AZ99)</f>
        <v>-76194329.981032103</v>
      </c>
      <c r="BA42" s="606"/>
      <c r="BB42" s="609">
        <f>SUM(BB43:BB99)</f>
        <v>0</v>
      </c>
      <c r="BC42" s="606"/>
      <c r="BD42" s="609">
        <f>SUM(BD43:BD99)</f>
        <v>-76194329.981032103</v>
      </c>
      <c r="BF42" s="721">
        <f>ROUND(SUM(BF43:BF99),0)</f>
        <v>-105801359</v>
      </c>
      <c r="BH42" s="590">
        <f t="shared" ref="BH42:BH73" si="53">A42</f>
        <v>400</v>
      </c>
    </row>
    <row r="43" spans="1:60" ht="14.5">
      <c r="A43" s="590">
        <f t="shared" ref="A43:A99" si="54">A42+1</f>
        <v>401</v>
      </c>
      <c r="B43" s="622" t="s">
        <v>1792</v>
      </c>
      <c r="F43" s="715" t="s">
        <v>1766</v>
      </c>
      <c r="H43" s="723"/>
      <c r="J43" s="620">
        <v>-2434619.1484139045</v>
      </c>
      <c r="K43" s="606"/>
      <c r="L43" s="620">
        <v>-1460771.1451043426</v>
      </c>
      <c r="M43" s="606"/>
      <c r="N43" s="620">
        <v>-973848.00330956175</v>
      </c>
      <c r="P43" s="713" t="s">
        <v>1762</v>
      </c>
      <c r="R43" s="606">
        <v>0</v>
      </c>
      <c r="S43" s="606"/>
      <c r="T43" s="606">
        <f>N43</f>
        <v>-973848.00330956175</v>
      </c>
      <c r="U43" s="606"/>
      <c r="V43" s="606">
        <v>0</v>
      </c>
      <c r="W43" s="606"/>
      <c r="X43" s="606">
        <f>SUM(R43:V43)</f>
        <v>-973848.00330956175</v>
      </c>
      <c r="Y43" s="606"/>
      <c r="Z43" s="607" t="s">
        <v>1560</v>
      </c>
      <c r="AA43" s="606"/>
      <c r="AB43" s="606">
        <v>0</v>
      </c>
      <c r="AC43" s="606"/>
      <c r="AD43" s="620">
        <v>-344591.6805533318</v>
      </c>
      <c r="AE43" s="606"/>
      <c r="AF43" s="606">
        <v>0</v>
      </c>
      <c r="AG43" s="606"/>
      <c r="AH43" s="607" t="s">
        <v>1772</v>
      </c>
      <c r="AI43" s="606"/>
      <c r="AJ43" s="605">
        <f t="shared" ref="AJ43:AJ99" si="55">+R43-AB43</f>
        <v>0</v>
      </c>
      <c r="AK43" s="606"/>
      <c r="AL43" s="605">
        <f t="shared" ref="AL43:AL99" si="56">+T43-AD43</f>
        <v>-629256.3227562299</v>
      </c>
      <c r="AM43" s="606"/>
      <c r="AN43" s="605">
        <f t="shared" ref="AN43:AN99" si="57">+V43-AF43</f>
        <v>0</v>
      </c>
      <c r="AO43" s="606"/>
      <c r="AP43" s="606">
        <f t="shared" ref="AP43:AP99" si="58">SUM(AJ43:AN43)</f>
        <v>-629256.3227562299</v>
      </c>
      <c r="AR43" s="606">
        <v>0</v>
      </c>
      <c r="AS43" s="606"/>
      <c r="AT43" s="620">
        <v>-99577.17160621802</v>
      </c>
      <c r="AU43" s="606"/>
      <c r="AV43" s="606">
        <v>0</v>
      </c>
      <c r="AW43" s="606"/>
      <c r="AX43" s="605">
        <f t="shared" ref="AX43:AX74" si="59">+AJ43-AR43</f>
        <v>0</v>
      </c>
      <c r="AY43" s="606"/>
      <c r="AZ43" s="605">
        <f t="shared" ref="AZ43:AZ74" si="60">+AL43-AT43</f>
        <v>-529679.15115001192</v>
      </c>
      <c r="BA43" s="606"/>
      <c r="BB43" s="605">
        <f t="shared" ref="BB43:BB74" si="61">+AN43-AV43</f>
        <v>0</v>
      </c>
      <c r="BC43" s="606"/>
      <c r="BD43" s="606">
        <f t="shared" ref="BD43:BD99" si="62">SUM(AX43:BB43)</f>
        <v>-529679.15115001192</v>
      </c>
      <c r="BF43" s="712">
        <f t="shared" ref="BF43:BF99" si="63">+BD43*$BF$9</f>
        <v>-735497.95761800348</v>
      </c>
      <c r="BH43" s="590">
        <f t="shared" si="53"/>
        <v>401</v>
      </c>
    </row>
    <row r="44" spans="1:60" ht="14.5">
      <c r="A44" s="590">
        <f t="shared" si="54"/>
        <v>402</v>
      </c>
      <c r="B44" s="622" t="s">
        <v>1793</v>
      </c>
      <c r="F44" s="715" t="s">
        <v>1766</v>
      </c>
      <c r="H44" s="723"/>
      <c r="J44" s="620">
        <v>-448269.85840000003</v>
      </c>
      <c r="K44" s="606"/>
      <c r="L44" s="620">
        <v>-268961.71440600004</v>
      </c>
      <c r="M44" s="606"/>
      <c r="N44" s="620">
        <v>-179308.14399399998</v>
      </c>
      <c r="P44" s="713" t="s">
        <v>1762</v>
      </c>
      <c r="R44" s="606">
        <v>0</v>
      </c>
      <c r="S44" s="606"/>
      <c r="T44" s="606">
        <f t="shared" ref="T44:T96" si="64">N44</f>
        <v>-179308.14399399998</v>
      </c>
      <c r="U44" s="606"/>
      <c r="V44" s="606">
        <v>0</v>
      </c>
      <c r="W44" s="606"/>
      <c r="X44" s="606">
        <f t="shared" ref="X44:X96" si="65">SUM(R44:V44)</f>
        <v>-179308.14399399998</v>
      </c>
      <c r="Y44" s="606"/>
      <c r="Z44" s="607" t="s">
        <v>1560</v>
      </c>
      <c r="AA44" s="606"/>
      <c r="AB44" s="606">
        <v>0</v>
      </c>
      <c r="AC44" s="606"/>
      <c r="AD44" s="620">
        <v>-63447.370088359035</v>
      </c>
      <c r="AE44" s="606"/>
      <c r="AF44" s="606">
        <v>0</v>
      </c>
      <c r="AG44" s="606"/>
      <c r="AH44" s="607" t="s">
        <v>1772</v>
      </c>
      <c r="AI44" s="606"/>
      <c r="AJ44" s="605">
        <f t="shared" si="55"/>
        <v>0</v>
      </c>
      <c r="AK44" s="606"/>
      <c r="AL44" s="605">
        <f t="shared" si="56"/>
        <v>-115860.77390564095</v>
      </c>
      <c r="AM44" s="606"/>
      <c r="AN44" s="605">
        <f t="shared" si="57"/>
        <v>0</v>
      </c>
      <c r="AO44" s="606"/>
      <c r="AP44" s="606">
        <f t="shared" si="58"/>
        <v>-115860.77390564095</v>
      </c>
      <c r="AR44" s="606">
        <v>0</v>
      </c>
      <c r="AS44" s="606"/>
      <c r="AT44" s="620">
        <v>-18334.481114305199</v>
      </c>
      <c r="AU44" s="606"/>
      <c r="AV44" s="606">
        <v>0</v>
      </c>
      <c r="AW44" s="606"/>
      <c r="AX44" s="605">
        <f t="shared" si="59"/>
        <v>0</v>
      </c>
      <c r="AY44" s="606"/>
      <c r="AZ44" s="605">
        <f t="shared" si="60"/>
        <v>-97526.292791335756</v>
      </c>
      <c r="BA44" s="606"/>
      <c r="BB44" s="605">
        <f t="shared" si="61"/>
        <v>0</v>
      </c>
      <c r="BC44" s="606"/>
      <c r="BD44" s="606">
        <f t="shared" si="62"/>
        <v>-97526.292791335756</v>
      </c>
      <c r="BF44" s="712">
        <f t="shared" si="63"/>
        <v>-135422.33823314655</v>
      </c>
      <c r="BH44" s="590">
        <f t="shared" si="53"/>
        <v>402</v>
      </c>
    </row>
    <row r="45" spans="1:60" ht="14.5">
      <c r="A45" s="590">
        <f t="shared" si="54"/>
        <v>403</v>
      </c>
      <c r="B45" s="622" t="s">
        <v>1794</v>
      </c>
      <c r="F45" s="715" t="s">
        <v>1766</v>
      </c>
      <c r="H45" s="723"/>
      <c r="J45" s="620">
        <v>-54964684.313400358</v>
      </c>
      <c r="K45" s="606"/>
      <c r="L45" s="620">
        <v>-32978810.784167517</v>
      </c>
      <c r="M45" s="606"/>
      <c r="N45" s="620">
        <v>-21985873.529232834</v>
      </c>
      <c r="P45" s="713" t="s">
        <v>1762</v>
      </c>
      <c r="R45" s="606">
        <v>0</v>
      </c>
      <c r="S45" s="606"/>
      <c r="T45" s="606">
        <f t="shared" si="64"/>
        <v>-21985873.529232834</v>
      </c>
      <c r="U45" s="606"/>
      <c r="V45" s="606">
        <v>0</v>
      </c>
      <c r="W45" s="606"/>
      <c r="X45" s="606">
        <f t="shared" si="65"/>
        <v>-21985873.529232834</v>
      </c>
      <c r="Y45" s="606"/>
      <c r="Z45" s="607" t="s">
        <v>1560</v>
      </c>
      <c r="AA45" s="606"/>
      <c r="AB45" s="606">
        <v>0</v>
      </c>
      <c r="AC45" s="606"/>
      <c r="AD45" s="620">
        <v>-7779601.2130479133</v>
      </c>
      <c r="AE45" s="606"/>
      <c r="AF45" s="606">
        <v>0</v>
      </c>
      <c r="AG45" s="606"/>
      <c r="AH45" s="607" t="s">
        <v>1772</v>
      </c>
      <c r="AI45" s="606"/>
      <c r="AJ45" s="605">
        <f t="shared" si="55"/>
        <v>0</v>
      </c>
      <c r="AK45" s="606"/>
      <c r="AL45" s="605">
        <f t="shared" si="56"/>
        <v>-14206272.316184919</v>
      </c>
      <c r="AM45" s="606"/>
      <c r="AN45" s="605">
        <f t="shared" si="57"/>
        <v>0</v>
      </c>
      <c r="AO45" s="606"/>
      <c r="AP45" s="606">
        <f t="shared" si="58"/>
        <v>-14206272.316184919</v>
      </c>
      <c r="AR45" s="606">
        <v>0</v>
      </c>
      <c r="AS45" s="606"/>
      <c r="AT45" s="620">
        <v>-2248082.9594483483</v>
      </c>
      <c r="AU45" s="606"/>
      <c r="AV45" s="606">
        <v>0</v>
      </c>
      <c r="AW45" s="606"/>
      <c r="AX45" s="605">
        <f t="shared" si="59"/>
        <v>0</v>
      </c>
      <c r="AY45" s="606"/>
      <c r="AZ45" s="605">
        <f t="shared" si="60"/>
        <v>-11958189.356736571</v>
      </c>
      <c r="BA45" s="606"/>
      <c r="BB45" s="605">
        <f t="shared" si="61"/>
        <v>0</v>
      </c>
      <c r="BC45" s="606"/>
      <c r="BD45" s="606">
        <f t="shared" si="62"/>
        <v>-11958189.356736571</v>
      </c>
      <c r="BF45" s="712">
        <f t="shared" si="63"/>
        <v>-16604814.121139865</v>
      </c>
      <c r="BH45" s="590">
        <f t="shared" si="53"/>
        <v>403</v>
      </c>
    </row>
    <row r="46" spans="1:60" ht="14.5">
      <c r="A46" s="590">
        <f t="shared" si="54"/>
        <v>404</v>
      </c>
      <c r="B46" s="622" t="s">
        <v>1795</v>
      </c>
      <c r="F46" s="715" t="s">
        <v>1766</v>
      </c>
      <c r="H46" s="723"/>
      <c r="J46" s="620">
        <v>-20602724.375152476</v>
      </c>
      <c r="K46" s="606"/>
      <c r="L46" s="620">
        <v>-12361634.400661021</v>
      </c>
      <c r="M46" s="606"/>
      <c r="N46" s="620">
        <v>-8241089.9744914537</v>
      </c>
      <c r="P46" s="713" t="s">
        <v>1762</v>
      </c>
      <c r="R46" s="606">
        <v>0</v>
      </c>
      <c r="S46" s="606"/>
      <c r="T46" s="606">
        <f t="shared" si="64"/>
        <v>-8241089.9744914537</v>
      </c>
      <c r="U46" s="606"/>
      <c r="V46" s="606">
        <v>0</v>
      </c>
      <c r="W46" s="606"/>
      <c r="X46" s="606">
        <f t="shared" si="65"/>
        <v>-8241089.9744914537</v>
      </c>
      <c r="Y46" s="606"/>
      <c r="Z46" s="607" t="s">
        <v>1560</v>
      </c>
      <c r="AA46" s="606"/>
      <c r="AB46" s="606">
        <v>0</v>
      </c>
      <c r="AC46" s="606"/>
      <c r="AD46" s="620">
        <v>-2916072.1532008108</v>
      </c>
      <c r="AE46" s="606"/>
      <c r="AF46" s="606">
        <v>0</v>
      </c>
      <c r="AG46" s="606"/>
      <c r="AH46" s="607" t="s">
        <v>1772</v>
      </c>
      <c r="AI46" s="606"/>
      <c r="AJ46" s="605">
        <f t="shared" si="55"/>
        <v>0</v>
      </c>
      <c r="AK46" s="606"/>
      <c r="AL46" s="605">
        <f t="shared" si="56"/>
        <v>-5325017.821290643</v>
      </c>
      <c r="AM46" s="606"/>
      <c r="AN46" s="605">
        <f t="shared" si="57"/>
        <v>0</v>
      </c>
      <c r="AO46" s="606"/>
      <c r="AP46" s="606">
        <f t="shared" si="58"/>
        <v>-5325017.821290643</v>
      </c>
      <c r="AR46" s="606">
        <v>0</v>
      </c>
      <c r="AS46" s="606"/>
      <c r="AT46" s="620">
        <v>-842661.71704760636</v>
      </c>
      <c r="AU46" s="606"/>
      <c r="AV46" s="606">
        <v>0</v>
      </c>
      <c r="AW46" s="606"/>
      <c r="AX46" s="605">
        <f t="shared" si="59"/>
        <v>0</v>
      </c>
      <c r="AY46" s="606"/>
      <c r="AZ46" s="605">
        <f t="shared" si="60"/>
        <v>-4482356.1042430364</v>
      </c>
      <c r="BA46" s="606"/>
      <c r="BB46" s="605">
        <f t="shared" si="61"/>
        <v>0</v>
      </c>
      <c r="BC46" s="606"/>
      <c r="BD46" s="606">
        <f t="shared" si="62"/>
        <v>-4482356.1042430364</v>
      </c>
      <c r="BF46" s="712">
        <f t="shared" si="63"/>
        <v>-6224076.8828253513</v>
      </c>
      <c r="BH46" s="590">
        <f t="shared" si="53"/>
        <v>404</v>
      </c>
    </row>
    <row r="47" spans="1:60" ht="14.5">
      <c r="A47" s="590">
        <f t="shared" si="54"/>
        <v>405</v>
      </c>
      <c r="B47" s="622" t="s">
        <v>1796</v>
      </c>
      <c r="F47" s="715" t="s">
        <v>1766</v>
      </c>
      <c r="H47" s="723"/>
      <c r="J47" s="620">
        <v>-523661.88911936671</v>
      </c>
      <c r="K47" s="606"/>
      <c r="L47" s="620">
        <v>-314197.16501846712</v>
      </c>
      <c r="M47" s="606"/>
      <c r="N47" s="620">
        <v>-209464.72410089959</v>
      </c>
      <c r="P47" s="713" t="s">
        <v>1762</v>
      </c>
      <c r="R47" s="606">
        <v>0</v>
      </c>
      <c r="S47" s="606"/>
      <c r="T47" s="606">
        <f t="shared" si="64"/>
        <v>-209464.72410089959</v>
      </c>
      <c r="U47" s="606"/>
      <c r="V47" s="606">
        <v>0</v>
      </c>
      <c r="W47" s="606"/>
      <c r="X47" s="606">
        <f t="shared" si="65"/>
        <v>-209464.72410089959</v>
      </c>
      <c r="Y47" s="606"/>
      <c r="Z47" s="607" t="s">
        <v>1560</v>
      </c>
      <c r="AA47" s="606"/>
      <c r="AB47" s="606">
        <v>0</v>
      </c>
      <c r="AC47" s="606"/>
      <c r="AD47" s="620">
        <v>-74118.138610204478</v>
      </c>
      <c r="AE47" s="606"/>
      <c r="AF47" s="606">
        <v>0</v>
      </c>
      <c r="AG47" s="606"/>
      <c r="AH47" s="607" t="s">
        <v>1772</v>
      </c>
      <c r="AI47" s="606"/>
      <c r="AJ47" s="605">
        <f t="shared" si="55"/>
        <v>0</v>
      </c>
      <c r="AK47" s="606"/>
      <c r="AL47" s="605">
        <f t="shared" si="56"/>
        <v>-135346.58549069511</v>
      </c>
      <c r="AM47" s="606"/>
      <c r="AN47" s="605">
        <f t="shared" si="57"/>
        <v>0</v>
      </c>
      <c r="AO47" s="606"/>
      <c r="AP47" s="606">
        <f t="shared" si="58"/>
        <v>-135346.58549069511</v>
      </c>
      <c r="AR47" s="606">
        <v>0</v>
      </c>
      <c r="AS47" s="606"/>
      <c r="AT47" s="620">
        <v>-21418.029000788727</v>
      </c>
      <c r="AU47" s="606"/>
      <c r="AV47" s="606">
        <v>0</v>
      </c>
      <c r="AW47" s="606"/>
      <c r="AX47" s="605">
        <f t="shared" si="59"/>
        <v>0</v>
      </c>
      <c r="AY47" s="606"/>
      <c r="AZ47" s="605">
        <f t="shared" si="60"/>
        <v>-113928.55648990639</v>
      </c>
      <c r="BA47" s="606"/>
      <c r="BB47" s="605">
        <f t="shared" si="61"/>
        <v>0</v>
      </c>
      <c r="BC47" s="606"/>
      <c r="BD47" s="606">
        <f t="shared" si="62"/>
        <v>-113928.55648990639</v>
      </c>
      <c r="BF47" s="712">
        <f t="shared" si="63"/>
        <v>-158198.07223063966</v>
      </c>
      <c r="BH47" s="590">
        <f t="shared" si="53"/>
        <v>405</v>
      </c>
    </row>
    <row r="48" spans="1:60" ht="14.5">
      <c r="A48" s="590">
        <f t="shared" si="54"/>
        <v>406</v>
      </c>
      <c r="B48" s="622" t="s">
        <v>1797</v>
      </c>
      <c r="F48" s="715" t="s">
        <v>1766</v>
      </c>
      <c r="H48" s="723"/>
      <c r="J48" s="620">
        <v>200460.11720000001</v>
      </c>
      <c r="K48" s="606"/>
      <c r="L48" s="620">
        <v>120276.27095399999</v>
      </c>
      <c r="M48" s="606"/>
      <c r="N48" s="620">
        <v>80183.846246000001</v>
      </c>
      <c r="P48" s="713" t="s">
        <v>1762</v>
      </c>
      <c r="R48" s="606">
        <v>0</v>
      </c>
      <c r="S48" s="606"/>
      <c r="T48" s="606">
        <f t="shared" si="64"/>
        <v>80183.846246000001</v>
      </c>
      <c r="U48" s="606"/>
      <c r="V48" s="606">
        <v>0</v>
      </c>
      <c r="W48" s="606"/>
      <c r="X48" s="606">
        <f t="shared" si="65"/>
        <v>80183.846246000001</v>
      </c>
      <c r="Y48" s="606"/>
      <c r="Z48" s="607" t="s">
        <v>1560</v>
      </c>
      <c r="AA48" s="606"/>
      <c r="AB48" s="606">
        <v>0</v>
      </c>
      <c r="AC48" s="606"/>
      <c r="AD48" s="620">
        <v>28372.688794594163</v>
      </c>
      <c r="AE48" s="606"/>
      <c r="AF48" s="606">
        <v>0</v>
      </c>
      <c r="AG48" s="606"/>
      <c r="AH48" s="607" t="s">
        <v>1772</v>
      </c>
      <c r="AI48" s="606"/>
      <c r="AJ48" s="605">
        <f t="shared" si="55"/>
        <v>0</v>
      </c>
      <c r="AK48" s="606"/>
      <c r="AL48" s="605">
        <f t="shared" si="56"/>
        <v>51811.157451405837</v>
      </c>
      <c r="AM48" s="606"/>
      <c r="AN48" s="605">
        <f t="shared" si="57"/>
        <v>0</v>
      </c>
      <c r="AO48" s="606"/>
      <c r="AP48" s="606">
        <f t="shared" si="58"/>
        <v>51811.157451405837</v>
      </c>
      <c r="AR48" s="606">
        <v>0</v>
      </c>
      <c r="AS48" s="606"/>
      <c r="AT48" s="620">
        <v>8198.8981756390967</v>
      </c>
      <c r="AU48" s="606"/>
      <c r="AV48" s="606">
        <v>0</v>
      </c>
      <c r="AW48" s="606"/>
      <c r="AX48" s="605">
        <f t="shared" si="59"/>
        <v>0</v>
      </c>
      <c r="AY48" s="606"/>
      <c r="AZ48" s="605">
        <f t="shared" si="60"/>
        <v>43612.259275766744</v>
      </c>
      <c r="BA48" s="606"/>
      <c r="BB48" s="605">
        <f t="shared" si="61"/>
        <v>0</v>
      </c>
      <c r="BC48" s="606"/>
      <c r="BD48" s="606">
        <f t="shared" si="62"/>
        <v>43612.259275766744</v>
      </c>
      <c r="BF48" s="712">
        <f t="shared" si="63"/>
        <v>60558.788381211416</v>
      </c>
      <c r="BH48" s="590">
        <f t="shared" si="53"/>
        <v>406</v>
      </c>
    </row>
    <row r="49" spans="1:60" ht="14.5">
      <c r="A49" s="590">
        <f t="shared" si="54"/>
        <v>407</v>
      </c>
      <c r="B49" s="622" t="s">
        <v>1798</v>
      </c>
      <c r="F49" s="715" t="s">
        <v>1766</v>
      </c>
      <c r="H49" s="723"/>
      <c r="J49" s="620">
        <v>-213631.2616</v>
      </c>
      <c r="K49" s="606"/>
      <c r="L49" s="620">
        <v>-128178.642312</v>
      </c>
      <c r="M49" s="606"/>
      <c r="N49" s="620">
        <v>-85452.619288000002</v>
      </c>
      <c r="P49" s="713" t="s">
        <v>1762</v>
      </c>
      <c r="R49" s="606">
        <v>0</v>
      </c>
      <c r="S49" s="606"/>
      <c r="T49" s="606">
        <f t="shared" si="64"/>
        <v>-85452.619288000002</v>
      </c>
      <c r="U49" s="606"/>
      <c r="V49" s="606">
        <v>0</v>
      </c>
      <c r="W49" s="606"/>
      <c r="X49" s="606">
        <f t="shared" si="65"/>
        <v>-85452.619288000002</v>
      </c>
      <c r="Y49" s="606"/>
      <c r="Z49" s="607" t="s">
        <v>1560</v>
      </c>
      <c r="AA49" s="606"/>
      <c r="AB49" s="606">
        <v>0</v>
      </c>
      <c r="AC49" s="606"/>
      <c r="AD49" s="620">
        <v>-30237.020138732834</v>
      </c>
      <c r="AE49" s="606"/>
      <c r="AF49" s="606">
        <v>0</v>
      </c>
      <c r="AG49" s="606"/>
      <c r="AH49" s="607" t="s">
        <v>1772</v>
      </c>
      <c r="AI49" s="606"/>
      <c r="AJ49" s="605">
        <f t="shared" si="55"/>
        <v>0</v>
      </c>
      <c r="AK49" s="606"/>
      <c r="AL49" s="605">
        <f t="shared" si="56"/>
        <v>-55215.599149267167</v>
      </c>
      <c r="AM49" s="606"/>
      <c r="AN49" s="605">
        <f t="shared" si="57"/>
        <v>0</v>
      </c>
      <c r="AO49" s="606"/>
      <c r="AP49" s="606">
        <f t="shared" si="58"/>
        <v>-55215.599149267167</v>
      </c>
      <c r="AR49" s="606">
        <v>0</v>
      </c>
      <c r="AS49" s="606"/>
      <c r="AT49" s="620">
        <v>-8737.636783280599</v>
      </c>
      <c r="AU49" s="606"/>
      <c r="AV49" s="606">
        <v>0</v>
      </c>
      <c r="AW49" s="606"/>
      <c r="AX49" s="605">
        <f t="shared" si="59"/>
        <v>0</v>
      </c>
      <c r="AY49" s="606"/>
      <c r="AZ49" s="605">
        <f t="shared" si="60"/>
        <v>-46477.962365986568</v>
      </c>
      <c r="BA49" s="606"/>
      <c r="BB49" s="605">
        <f t="shared" si="61"/>
        <v>0</v>
      </c>
      <c r="BC49" s="606"/>
      <c r="BD49" s="606">
        <f t="shared" si="62"/>
        <v>-46477.962365986568</v>
      </c>
      <c r="BF49" s="712">
        <f t="shared" si="63"/>
        <v>-64538.025180356926</v>
      </c>
      <c r="BH49" s="590">
        <f t="shared" si="53"/>
        <v>407</v>
      </c>
    </row>
    <row r="50" spans="1:60" ht="14.5">
      <c r="A50" s="590">
        <f t="shared" si="54"/>
        <v>408</v>
      </c>
      <c r="B50" s="622" t="s">
        <v>1799</v>
      </c>
      <c r="F50" s="715" t="s">
        <v>1766</v>
      </c>
      <c r="H50" s="723"/>
      <c r="J50" s="620">
        <v>2328139.9133534944</v>
      </c>
      <c r="K50" s="606"/>
      <c r="L50" s="620">
        <v>1396884.1244907889</v>
      </c>
      <c r="M50" s="606"/>
      <c r="N50" s="620">
        <v>931255.78886270523</v>
      </c>
      <c r="P50" s="713" t="s">
        <v>1762</v>
      </c>
      <c r="R50" s="606">
        <v>0</v>
      </c>
      <c r="S50" s="606"/>
      <c r="T50" s="606">
        <f t="shared" si="64"/>
        <v>931255.78886270523</v>
      </c>
      <c r="U50" s="606"/>
      <c r="V50" s="606">
        <v>0</v>
      </c>
      <c r="W50" s="606"/>
      <c r="X50" s="606">
        <f t="shared" si="65"/>
        <v>931255.78886270523</v>
      </c>
      <c r="Y50" s="606"/>
      <c r="Z50" s="607" t="s">
        <v>1560</v>
      </c>
      <c r="AA50" s="606"/>
      <c r="AB50" s="606">
        <v>0</v>
      </c>
      <c r="AC50" s="606"/>
      <c r="AD50" s="620">
        <v>329520.61945873429</v>
      </c>
      <c r="AE50" s="606"/>
      <c r="AF50" s="606">
        <v>0</v>
      </c>
      <c r="AG50" s="606"/>
      <c r="AH50" s="607" t="s">
        <v>1772</v>
      </c>
      <c r="AI50" s="606"/>
      <c r="AJ50" s="605">
        <f t="shared" si="55"/>
        <v>0</v>
      </c>
      <c r="AK50" s="606"/>
      <c r="AL50" s="605">
        <f t="shared" si="56"/>
        <v>601735.16940397094</v>
      </c>
      <c r="AM50" s="606"/>
      <c r="AN50" s="605">
        <f t="shared" si="57"/>
        <v>0</v>
      </c>
      <c r="AO50" s="606"/>
      <c r="AP50" s="606">
        <f t="shared" si="58"/>
        <v>601735.16940397094</v>
      </c>
      <c r="AR50" s="606">
        <v>0</v>
      </c>
      <c r="AS50" s="606"/>
      <c r="AT50" s="620">
        <v>95222.064615548064</v>
      </c>
      <c r="AU50" s="606"/>
      <c r="AV50" s="606">
        <v>0</v>
      </c>
      <c r="AW50" s="606"/>
      <c r="AX50" s="605">
        <f t="shared" si="59"/>
        <v>0</v>
      </c>
      <c r="AY50" s="606"/>
      <c r="AZ50" s="605">
        <f t="shared" si="60"/>
        <v>506513.10478842288</v>
      </c>
      <c r="BA50" s="606"/>
      <c r="BB50" s="605">
        <f t="shared" si="61"/>
        <v>0</v>
      </c>
      <c r="BC50" s="606"/>
      <c r="BD50" s="606">
        <f t="shared" si="62"/>
        <v>506513.10478842288</v>
      </c>
      <c r="BF50" s="712">
        <f t="shared" si="63"/>
        <v>703330.2203226249</v>
      </c>
      <c r="BH50" s="590">
        <f t="shared" si="53"/>
        <v>408</v>
      </c>
    </row>
    <row r="51" spans="1:60" ht="14.5">
      <c r="A51" s="590">
        <f t="shared" si="54"/>
        <v>409</v>
      </c>
      <c r="B51" s="622" t="s">
        <v>1800</v>
      </c>
      <c r="F51" s="715" t="s">
        <v>1766</v>
      </c>
      <c r="H51" s="723"/>
      <c r="J51" s="620">
        <v>-215413.08259999999</v>
      </c>
      <c r="K51" s="606"/>
      <c r="L51" s="620">
        <v>-129247.82089800001</v>
      </c>
      <c r="M51" s="606"/>
      <c r="N51" s="620">
        <v>-86165.261702000003</v>
      </c>
      <c r="P51" s="713" t="s">
        <v>1762</v>
      </c>
      <c r="R51" s="606">
        <v>0</v>
      </c>
      <c r="S51" s="606"/>
      <c r="T51" s="606">
        <f t="shared" si="64"/>
        <v>-86165.261702000003</v>
      </c>
      <c r="U51" s="606"/>
      <c r="V51" s="606">
        <v>0</v>
      </c>
      <c r="W51" s="606"/>
      <c r="X51" s="606">
        <f t="shared" si="65"/>
        <v>-86165.261702000003</v>
      </c>
      <c r="Y51" s="606"/>
      <c r="Z51" s="607" t="s">
        <v>1560</v>
      </c>
      <c r="AA51" s="606"/>
      <c r="AB51" s="606">
        <v>0</v>
      </c>
      <c r="AC51" s="606"/>
      <c r="AD51" s="620">
        <v>-30489.185411177081</v>
      </c>
      <c r="AE51" s="606"/>
      <c r="AF51" s="606">
        <v>0</v>
      </c>
      <c r="AG51" s="606"/>
      <c r="AH51" s="607" t="s">
        <v>1772</v>
      </c>
      <c r="AI51" s="606"/>
      <c r="AJ51" s="605">
        <f t="shared" si="55"/>
        <v>0</v>
      </c>
      <c r="AK51" s="606"/>
      <c r="AL51" s="605">
        <f t="shared" si="56"/>
        <v>-55676.076290822923</v>
      </c>
      <c r="AM51" s="606"/>
      <c r="AN51" s="605">
        <f t="shared" si="57"/>
        <v>0</v>
      </c>
      <c r="AO51" s="606"/>
      <c r="AP51" s="606">
        <f t="shared" si="58"/>
        <v>-55676.076290822923</v>
      </c>
      <c r="AR51" s="606">
        <v>0</v>
      </c>
      <c r="AS51" s="606"/>
      <c r="AT51" s="620">
        <v>-8810.5053579571213</v>
      </c>
      <c r="AU51" s="606"/>
      <c r="AV51" s="606">
        <v>0</v>
      </c>
      <c r="AW51" s="606"/>
      <c r="AX51" s="605">
        <f t="shared" si="59"/>
        <v>0</v>
      </c>
      <c r="AY51" s="606"/>
      <c r="AZ51" s="605">
        <f t="shared" si="60"/>
        <v>-46865.570932865798</v>
      </c>
      <c r="BA51" s="606"/>
      <c r="BB51" s="605">
        <f t="shared" si="61"/>
        <v>0</v>
      </c>
      <c r="BC51" s="606"/>
      <c r="BD51" s="606">
        <f t="shared" si="62"/>
        <v>-46865.570932865798</v>
      </c>
      <c r="BF51" s="712">
        <f t="shared" si="63"/>
        <v>-65076.247816977513</v>
      </c>
      <c r="BH51" s="590">
        <f t="shared" si="53"/>
        <v>409</v>
      </c>
    </row>
    <row r="52" spans="1:60" ht="14.5">
      <c r="A52" s="590">
        <f t="shared" si="54"/>
        <v>410</v>
      </c>
      <c r="B52" s="622" t="s">
        <v>1801</v>
      </c>
      <c r="F52" s="715" t="s">
        <v>1766</v>
      </c>
      <c r="H52" s="723"/>
      <c r="J52" s="620">
        <v>-2118462.1781889452</v>
      </c>
      <c r="K52" s="606"/>
      <c r="L52" s="620">
        <v>-1271077.2434608291</v>
      </c>
      <c r="M52" s="606"/>
      <c r="N52" s="620">
        <v>-847384.9347281158</v>
      </c>
      <c r="P52" s="713" t="s">
        <v>1762</v>
      </c>
      <c r="R52" s="606">
        <v>0</v>
      </c>
      <c r="S52" s="606"/>
      <c r="T52" s="606">
        <f t="shared" si="64"/>
        <v>-847384.9347281158</v>
      </c>
      <c r="U52" s="606"/>
      <c r="V52" s="606">
        <v>0</v>
      </c>
      <c r="W52" s="606"/>
      <c r="X52" s="606">
        <f t="shared" si="65"/>
        <v>-847384.9347281158</v>
      </c>
      <c r="Y52" s="606"/>
      <c r="Z52" s="607" t="s">
        <v>1560</v>
      </c>
      <c r="AA52" s="606"/>
      <c r="AB52" s="606">
        <v>0</v>
      </c>
      <c r="AC52" s="606"/>
      <c r="AD52" s="620">
        <v>-299843.29971534252</v>
      </c>
      <c r="AE52" s="606"/>
      <c r="AF52" s="606">
        <v>0</v>
      </c>
      <c r="AG52" s="606"/>
      <c r="AH52" s="607" t="s">
        <v>1772</v>
      </c>
      <c r="AI52" s="606"/>
      <c r="AJ52" s="605">
        <f t="shared" si="55"/>
        <v>0</v>
      </c>
      <c r="AK52" s="606"/>
      <c r="AL52" s="605">
        <f t="shared" si="56"/>
        <v>-547541.63501277333</v>
      </c>
      <c r="AM52" s="606"/>
      <c r="AN52" s="605">
        <f t="shared" si="57"/>
        <v>0</v>
      </c>
      <c r="AO52" s="606"/>
      <c r="AP52" s="606">
        <f t="shared" si="58"/>
        <v>-547541.63501277333</v>
      </c>
      <c r="AR52" s="606">
        <v>0</v>
      </c>
      <c r="AS52" s="606"/>
      <c r="AT52" s="620">
        <v>-86646.165289844634</v>
      </c>
      <c r="AU52" s="606"/>
      <c r="AV52" s="606">
        <v>0</v>
      </c>
      <c r="AW52" s="606"/>
      <c r="AX52" s="605">
        <f t="shared" si="59"/>
        <v>0</v>
      </c>
      <c r="AY52" s="606"/>
      <c r="AZ52" s="605">
        <f t="shared" si="60"/>
        <v>-460895.46972292871</v>
      </c>
      <c r="BA52" s="606"/>
      <c r="BB52" s="605">
        <f t="shared" si="61"/>
        <v>0</v>
      </c>
      <c r="BC52" s="606"/>
      <c r="BD52" s="606">
        <f t="shared" si="62"/>
        <v>-460895.46972292871</v>
      </c>
      <c r="BF52" s="712">
        <f t="shared" si="63"/>
        <v>-639986.82206126477</v>
      </c>
      <c r="BH52" s="590">
        <f t="shared" si="53"/>
        <v>410</v>
      </c>
    </row>
    <row r="53" spans="1:60" ht="14.5">
      <c r="A53" s="590">
        <f t="shared" si="54"/>
        <v>411</v>
      </c>
      <c r="B53" s="622" t="s">
        <v>1802</v>
      </c>
      <c r="F53" s="715" t="s">
        <v>1766</v>
      </c>
      <c r="H53" s="723"/>
      <c r="J53" s="620">
        <v>-7026118.1700553214</v>
      </c>
      <c r="K53" s="606"/>
      <c r="L53" s="620">
        <v>-4215671.4134425009</v>
      </c>
      <c r="M53" s="606"/>
      <c r="N53" s="620">
        <v>-2810446.7566128215</v>
      </c>
      <c r="P53" s="713" t="s">
        <v>1762</v>
      </c>
      <c r="R53" s="606">
        <v>0</v>
      </c>
      <c r="S53" s="606"/>
      <c r="T53" s="606">
        <f t="shared" si="64"/>
        <v>-2810446.7566128215</v>
      </c>
      <c r="U53" s="606"/>
      <c r="V53" s="606">
        <v>0</v>
      </c>
      <c r="W53" s="606"/>
      <c r="X53" s="606">
        <f t="shared" si="65"/>
        <v>-2810446.7566128215</v>
      </c>
      <c r="Y53" s="606"/>
      <c r="Z53" s="607" t="s">
        <v>1560</v>
      </c>
      <c r="AA53" s="606"/>
      <c r="AB53" s="606">
        <v>0</v>
      </c>
      <c r="AC53" s="606"/>
      <c r="AD53" s="620">
        <v>-994463.78456970036</v>
      </c>
      <c r="AE53" s="606"/>
      <c r="AF53" s="606">
        <v>0</v>
      </c>
      <c r="AG53" s="606"/>
      <c r="AH53" s="607" t="s">
        <v>1772</v>
      </c>
      <c r="AI53" s="606"/>
      <c r="AJ53" s="605">
        <f t="shared" si="55"/>
        <v>0</v>
      </c>
      <c r="AK53" s="606"/>
      <c r="AL53" s="605">
        <f t="shared" si="56"/>
        <v>-1815982.9720431212</v>
      </c>
      <c r="AM53" s="606"/>
      <c r="AN53" s="605">
        <f t="shared" si="57"/>
        <v>0</v>
      </c>
      <c r="AO53" s="606"/>
      <c r="AP53" s="606">
        <f t="shared" si="58"/>
        <v>-1815982.9720431212</v>
      </c>
      <c r="AR53" s="606">
        <v>0</v>
      </c>
      <c r="AS53" s="606"/>
      <c r="AT53" s="620">
        <v>-287371.68225667597</v>
      </c>
      <c r="AU53" s="606"/>
      <c r="AV53" s="606">
        <v>0</v>
      </c>
      <c r="AW53" s="606"/>
      <c r="AX53" s="605">
        <f t="shared" si="59"/>
        <v>0</v>
      </c>
      <c r="AY53" s="606"/>
      <c r="AZ53" s="605">
        <f t="shared" si="60"/>
        <v>-1528611.2897864452</v>
      </c>
      <c r="BA53" s="606"/>
      <c r="BB53" s="605">
        <f t="shared" si="61"/>
        <v>0</v>
      </c>
      <c r="BC53" s="606"/>
      <c r="BD53" s="606">
        <f t="shared" si="62"/>
        <v>-1528611.2897864452</v>
      </c>
      <c r="BF53" s="712">
        <f t="shared" si="63"/>
        <v>-2122587.7574919672</v>
      </c>
      <c r="BH53" s="590">
        <f t="shared" si="53"/>
        <v>411</v>
      </c>
    </row>
    <row r="54" spans="1:60" ht="14.5">
      <c r="A54" s="590">
        <f t="shared" si="54"/>
        <v>412</v>
      </c>
      <c r="B54" s="622" t="s">
        <v>1803</v>
      </c>
      <c r="F54" s="715" t="s">
        <v>1766</v>
      </c>
      <c r="H54" s="723"/>
      <c r="J54" s="620">
        <v>-21209153.518288884</v>
      </c>
      <c r="K54" s="606"/>
      <c r="L54" s="620">
        <v>-12725492.086459177</v>
      </c>
      <c r="M54" s="606"/>
      <c r="N54" s="620">
        <v>-8483661.4318297058</v>
      </c>
      <c r="P54" s="713" t="s">
        <v>1762</v>
      </c>
      <c r="R54" s="606">
        <v>0</v>
      </c>
      <c r="S54" s="606"/>
      <c r="T54" s="606">
        <f t="shared" si="64"/>
        <v>-8483661.4318297058</v>
      </c>
      <c r="U54" s="606"/>
      <c r="V54" s="606">
        <v>0</v>
      </c>
      <c r="W54" s="606"/>
      <c r="X54" s="606">
        <f t="shared" si="65"/>
        <v>-8483661.4318297058</v>
      </c>
      <c r="Y54" s="606"/>
      <c r="Z54" s="607" t="s">
        <v>1560</v>
      </c>
      <c r="AA54" s="606"/>
      <c r="AB54" s="606">
        <v>0</v>
      </c>
      <c r="AC54" s="606"/>
      <c r="AD54" s="620">
        <v>-3001904.9585815175</v>
      </c>
      <c r="AE54" s="606"/>
      <c r="AF54" s="606">
        <v>0</v>
      </c>
      <c r="AG54" s="606"/>
      <c r="AH54" s="607" t="s">
        <v>1772</v>
      </c>
      <c r="AI54" s="606"/>
      <c r="AJ54" s="605">
        <f t="shared" si="55"/>
        <v>0</v>
      </c>
      <c r="AK54" s="606"/>
      <c r="AL54" s="605">
        <f t="shared" si="56"/>
        <v>-5481756.4732481884</v>
      </c>
      <c r="AM54" s="606"/>
      <c r="AN54" s="605">
        <f t="shared" si="57"/>
        <v>0</v>
      </c>
      <c r="AO54" s="606"/>
      <c r="AP54" s="606">
        <f t="shared" si="58"/>
        <v>-5481756.4732481884</v>
      </c>
      <c r="AR54" s="606">
        <v>0</v>
      </c>
      <c r="AS54" s="606"/>
      <c r="AT54" s="620">
        <v>-867464.95076791348</v>
      </c>
      <c r="AU54" s="606"/>
      <c r="AV54" s="606">
        <v>0</v>
      </c>
      <c r="AW54" s="606"/>
      <c r="AX54" s="605">
        <f t="shared" si="59"/>
        <v>0</v>
      </c>
      <c r="AY54" s="606"/>
      <c r="AZ54" s="605">
        <f t="shared" si="60"/>
        <v>-4614291.5224802746</v>
      </c>
      <c r="BA54" s="606"/>
      <c r="BB54" s="605">
        <f t="shared" si="61"/>
        <v>0</v>
      </c>
      <c r="BC54" s="606"/>
      <c r="BD54" s="606">
        <f t="shared" si="62"/>
        <v>-4614291.5224802746</v>
      </c>
      <c r="BF54" s="712">
        <f t="shared" si="63"/>
        <v>-6407278.7899426715</v>
      </c>
      <c r="BH54" s="590">
        <f t="shared" si="53"/>
        <v>412</v>
      </c>
    </row>
    <row r="55" spans="1:60" ht="14.5">
      <c r="A55" s="590">
        <f t="shared" si="54"/>
        <v>413</v>
      </c>
      <c r="B55" s="622" t="s">
        <v>1804</v>
      </c>
      <c r="F55" s="715" t="s">
        <v>1766</v>
      </c>
      <c r="H55" s="723"/>
      <c r="J55" s="620">
        <v>-836924.33457711921</v>
      </c>
      <c r="K55" s="606"/>
      <c r="L55" s="620">
        <v>-662647.5181006192</v>
      </c>
      <c r="M55" s="606"/>
      <c r="N55" s="620">
        <v>-174276.81647649998</v>
      </c>
      <c r="P55" s="713" t="s">
        <v>1762</v>
      </c>
      <c r="R55" s="606">
        <v>0</v>
      </c>
      <c r="S55" s="606"/>
      <c r="T55" s="606">
        <f t="shared" si="64"/>
        <v>-174276.81647649998</v>
      </c>
      <c r="U55" s="606"/>
      <c r="V55" s="606">
        <v>0</v>
      </c>
      <c r="W55" s="606"/>
      <c r="X55" s="606">
        <f t="shared" si="65"/>
        <v>-174276.81647649998</v>
      </c>
      <c r="Y55" s="606"/>
      <c r="Z55" s="607" t="s">
        <v>1560</v>
      </c>
      <c r="AA55" s="606"/>
      <c r="AB55" s="606">
        <v>0</v>
      </c>
      <c r="AC55" s="606"/>
      <c r="AD55" s="620">
        <v>-61667.057761612465</v>
      </c>
      <c r="AE55" s="606"/>
      <c r="AF55" s="606">
        <v>0</v>
      </c>
      <c r="AG55" s="606"/>
      <c r="AH55" s="607" t="s">
        <v>1772</v>
      </c>
      <c r="AI55" s="606"/>
      <c r="AJ55" s="605">
        <f t="shared" si="55"/>
        <v>0</v>
      </c>
      <c r="AK55" s="606"/>
      <c r="AL55" s="605">
        <f t="shared" si="56"/>
        <v>-112609.75871488752</v>
      </c>
      <c r="AM55" s="606"/>
      <c r="AN55" s="605">
        <f t="shared" si="57"/>
        <v>0</v>
      </c>
      <c r="AO55" s="606"/>
      <c r="AP55" s="606">
        <f t="shared" si="58"/>
        <v>-112609.75871488752</v>
      </c>
      <c r="AR55" s="606">
        <v>0</v>
      </c>
      <c r="AS55" s="606"/>
      <c r="AT55" s="620">
        <v>-17820.021607365154</v>
      </c>
      <c r="AU55" s="606"/>
      <c r="AV55" s="606">
        <v>0</v>
      </c>
      <c r="AW55" s="606"/>
      <c r="AX55" s="605">
        <f t="shared" si="59"/>
        <v>0</v>
      </c>
      <c r="AY55" s="606"/>
      <c r="AZ55" s="605">
        <f t="shared" si="60"/>
        <v>-94789.737107522364</v>
      </c>
      <c r="BA55" s="606"/>
      <c r="BB55" s="605">
        <f t="shared" si="61"/>
        <v>0</v>
      </c>
      <c r="BC55" s="606"/>
      <c r="BD55" s="606">
        <f t="shared" si="62"/>
        <v>-94789.737107522364</v>
      </c>
      <c r="BF55" s="712">
        <f t="shared" si="63"/>
        <v>-131622.43198427351</v>
      </c>
      <c r="BH55" s="590">
        <f t="shared" si="53"/>
        <v>413</v>
      </c>
    </row>
    <row r="56" spans="1:60" ht="14.5">
      <c r="A56" s="590">
        <f t="shared" si="54"/>
        <v>414</v>
      </c>
      <c r="B56" s="622" t="s">
        <v>1805</v>
      </c>
      <c r="F56" s="715" t="s">
        <v>1766</v>
      </c>
      <c r="H56" s="723"/>
      <c r="J56" s="620">
        <v>-218308782.94916928</v>
      </c>
      <c r="K56" s="606"/>
      <c r="L56" s="620">
        <v>-129315766.69833358</v>
      </c>
      <c r="M56" s="606"/>
      <c r="N56" s="620">
        <v>-88993016.250835702</v>
      </c>
      <c r="P56" s="713" t="s">
        <v>1762</v>
      </c>
      <c r="R56" s="606">
        <v>0</v>
      </c>
      <c r="S56" s="606"/>
      <c r="T56" s="606">
        <f t="shared" si="64"/>
        <v>-88993016.250835702</v>
      </c>
      <c r="U56" s="606"/>
      <c r="V56" s="606">
        <v>0</v>
      </c>
      <c r="W56" s="606"/>
      <c r="X56" s="606">
        <f t="shared" si="65"/>
        <v>-88993016.250835702</v>
      </c>
      <c r="Y56" s="606"/>
      <c r="Z56" s="607" t="s">
        <v>1560</v>
      </c>
      <c r="AA56" s="606"/>
      <c r="AB56" s="606">
        <v>0</v>
      </c>
      <c r="AC56" s="606"/>
      <c r="AD56" s="620">
        <v>-31489773.479196027</v>
      </c>
      <c r="AE56" s="606"/>
      <c r="AF56" s="606">
        <v>0</v>
      </c>
      <c r="AG56" s="606"/>
      <c r="AH56" s="607" t="s">
        <v>1772</v>
      </c>
      <c r="AI56" s="606"/>
      <c r="AJ56" s="605">
        <f t="shared" si="55"/>
        <v>0</v>
      </c>
      <c r="AK56" s="606"/>
      <c r="AL56" s="605">
        <f t="shared" si="56"/>
        <v>-57503242.771639675</v>
      </c>
      <c r="AM56" s="606"/>
      <c r="AN56" s="605">
        <f t="shared" si="57"/>
        <v>0</v>
      </c>
      <c r="AO56" s="606"/>
      <c r="AP56" s="606">
        <f t="shared" si="58"/>
        <v>-57503242.771639675</v>
      </c>
      <c r="AR56" s="606">
        <v>0</v>
      </c>
      <c r="AS56" s="606"/>
      <c r="AT56" s="620">
        <v>-9099646.7835314889</v>
      </c>
      <c r="AU56" s="606"/>
      <c r="AV56" s="606">
        <v>0</v>
      </c>
      <c r="AW56" s="606"/>
      <c r="AX56" s="605">
        <f t="shared" si="59"/>
        <v>0</v>
      </c>
      <c r="AY56" s="606"/>
      <c r="AZ56" s="605">
        <f t="shared" si="60"/>
        <v>-48403595.988108188</v>
      </c>
      <c r="BA56" s="606"/>
      <c r="BB56" s="605">
        <f t="shared" si="61"/>
        <v>0</v>
      </c>
      <c r="BC56" s="606"/>
      <c r="BD56" s="606">
        <f t="shared" si="62"/>
        <v>-48403595.988108188</v>
      </c>
      <c r="BF56" s="712">
        <f t="shared" si="63"/>
        <v>-67211907.271271795</v>
      </c>
      <c r="BH56" s="590">
        <f t="shared" si="53"/>
        <v>414</v>
      </c>
    </row>
    <row r="57" spans="1:60" ht="14.5">
      <c r="A57" s="590">
        <f t="shared" si="54"/>
        <v>415</v>
      </c>
      <c r="B57" s="622" t="s">
        <v>1806</v>
      </c>
      <c r="F57" s="715" t="s">
        <v>1766</v>
      </c>
      <c r="H57" s="723"/>
      <c r="J57" s="620">
        <v>-14250105.3266</v>
      </c>
      <c r="K57" s="606"/>
      <c r="L57" s="620">
        <v>-8550063.0526500009</v>
      </c>
      <c r="M57" s="606"/>
      <c r="N57" s="620">
        <v>-5700042.2739500003</v>
      </c>
      <c r="P57" s="713" t="s">
        <v>1762</v>
      </c>
      <c r="R57" s="606">
        <v>0</v>
      </c>
      <c r="S57" s="606"/>
      <c r="T57" s="606">
        <f t="shared" si="64"/>
        <v>-5700042.2739500003</v>
      </c>
      <c r="U57" s="606"/>
      <c r="V57" s="606">
        <v>0</v>
      </c>
      <c r="W57" s="606"/>
      <c r="X57" s="606">
        <f t="shared" si="65"/>
        <v>-5700042.2739500003</v>
      </c>
      <c r="Y57" s="606"/>
      <c r="Z57" s="607" t="s">
        <v>1560</v>
      </c>
      <c r="AA57" s="606"/>
      <c r="AB57" s="606">
        <v>0</v>
      </c>
      <c r="AC57" s="606"/>
      <c r="AD57" s="620">
        <v>-2016933.9976364868</v>
      </c>
      <c r="AE57" s="606"/>
      <c r="AF57" s="606">
        <v>0</v>
      </c>
      <c r="AG57" s="606"/>
      <c r="AH57" s="607" t="s">
        <v>1772</v>
      </c>
      <c r="AI57" s="606"/>
      <c r="AJ57" s="605">
        <f t="shared" si="55"/>
        <v>0</v>
      </c>
      <c r="AK57" s="606"/>
      <c r="AL57" s="605">
        <f t="shared" si="56"/>
        <v>-3683108.2763135135</v>
      </c>
      <c r="AM57" s="606"/>
      <c r="AN57" s="605">
        <f t="shared" si="57"/>
        <v>0</v>
      </c>
      <c r="AO57" s="606"/>
      <c r="AP57" s="606">
        <f t="shared" si="58"/>
        <v>-3683108.2763135135</v>
      </c>
      <c r="AR57" s="606">
        <v>0</v>
      </c>
      <c r="AS57" s="606"/>
      <c r="AT57" s="620">
        <v>-582836.4239048427</v>
      </c>
      <c r="AU57" s="606"/>
      <c r="AV57" s="606">
        <v>0</v>
      </c>
      <c r="AW57" s="606"/>
      <c r="AX57" s="605">
        <f t="shared" si="59"/>
        <v>0</v>
      </c>
      <c r="AY57" s="606"/>
      <c r="AZ57" s="605">
        <f t="shared" si="60"/>
        <v>-3100271.8524086708</v>
      </c>
      <c r="BA57" s="606"/>
      <c r="BB57" s="605">
        <f t="shared" si="61"/>
        <v>0</v>
      </c>
      <c r="BC57" s="606"/>
      <c r="BD57" s="606">
        <f t="shared" si="62"/>
        <v>-3100271.8524086708</v>
      </c>
      <c r="BF57" s="712">
        <f t="shared" si="63"/>
        <v>-4304952.5558187729</v>
      </c>
      <c r="BH57" s="590">
        <f t="shared" si="53"/>
        <v>415</v>
      </c>
    </row>
    <row r="58" spans="1:60" ht="14.5">
      <c r="A58" s="590">
        <f t="shared" si="54"/>
        <v>416</v>
      </c>
      <c r="B58" s="622" t="s">
        <v>1807</v>
      </c>
      <c r="F58" s="715" t="s">
        <v>1766</v>
      </c>
      <c r="H58" s="723"/>
      <c r="J58" s="620">
        <v>-29782170.194800001</v>
      </c>
      <c r="K58" s="606"/>
      <c r="L58" s="620">
        <v>-17869302.088218</v>
      </c>
      <c r="M58" s="606"/>
      <c r="N58" s="620">
        <v>-11912868.106582003</v>
      </c>
      <c r="P58" s="713" t="s">
        <v>1762</v>
      </c>
      <c r="R58" s="606">
        <v>0</v>
      </c>
      <c r="S58" s="606"/>
      <c r="T58" s="606">
        <f t="shared" si="64"/>
        <v>-11912868.106582003</v>
      </c>
      <c r="U58" s="606"/>
      <c r="V58" s="606">
        <v>0</v>
      </c>
      <c r="W58" s="606"/>
      <c r="X58" s="606">
        <f t="shared" si="65"/>
        <v>-11912868.106582003</v>
      </c>
      <c r="Y58" s="606"/>
      <c r="Z58" s="607" t="s">
        <v>1560</v>
      </c>
      <c r="AA58" s="606"/>
      <c r="AB58" s="606">
        <v>0</v>
      </c>
      <c r="AC58" s="606"/>
      <c r="AD58" s="620">
        <v>-4215314.1220256519</v>
      </c>
      <c r="AE58" s="606"/>
      <c r="AF58" s="606">
        <v>0</v>
      </c>
      <c r="AG58" s="606"/>
      <c r="AH58" s="607" t="s">
        <v>1772</v>
      </c>
      <c r="AI58" s="606"/>
      <c r="AJ58" s="605">
        <f t="shared" si="55"/>
        <v>0</v>
      </c>
      <c r="AK58" s="606"/>
      <c r="AL58" s="605">
        <f t="shared" si="56"/>
        <v>-7697553.9845563509</v>
      </c>
      <c r="AM58" s="606"/>
      <c r="AN58" s="605">
        <f t="shared" si="57"/>
        <v>0</v>
      </c>
      <c r="AO58" s="606"/>
      <c r="AP58" s="606">
        <f t="shared" si="58"/>
        <v>-7697553.9845563509</v>
      </c>
      <c r="AR58" s="606">
        <v>0</v>
      </c>
      <c r="AS58" s="606"/>
      <c r="AT58" s="620">
        <v>-1218105.6055359379</v>
      </c>
      <c r="AU58" s="606"/>
      <c r="AV58" s="606">
        <v>0</v>
      </c>
      <c r="AW58" s="606"/>
      <c r="AX58" s="605">
        <f t="shared" si="59"/>
        <v>0</v>
      </c>
      <c r="AY58" s="606"/>
      <c r="AZ58" s="605">
        <f t="shared" si="60"/>
        <v>-6479448.3790204134</v>
      </c>
      <c r="BA58" s="606"/>
      <c r="BB58" s="605">
        <f t="shared" si="61"/>
        <v>0</v>
      </c>
      <c r="BC58" s="606"/>
      <c r="BD58" s="606">
        <f t="shared" si="62"/>
        <v>-6479448.3790204134</v>
      </c>
      <c r="BF58" s="712">
        <f t="shared" si="63"/>
        <v>-8997184.501058666</v>
      </c>
      <c r="BH58" s="590">
        <f t="shared" si="53"/>
        <v>416</v>
      </c>
    </row>
    <row r="59" spans="1:60" ht="14.5">
      <c r="A59" s="590">
        <f t="shared" si="54"/>
        <v>417</v>
      </c>
      <c r="B59" s="622" t="s">
        <v>1808</v>
      </c>
      <c r="F59" s="715" t="s">
        <v>1766</v>
      </c>
      <c r="H59" s="723"/>
      <c r="J59" s="620">
        <v>-3287922.8230146882</v>
      </c>
      <c r="K59" s="606"/>
      <c r="L59" s="620">
        <v>-1972753.6622619657</v>
      </c>
      <c r="M59" s="606"/>
      <c r="N59" s="620">
        <v>-1315169.1607527225</v>
      </c>
      <c r="P59" s="713" t="s">
        <v>1762</v>
      </c>
      <c r="R59" s="606">
        <v>0</v>
      </c>
      <c r="S59" s="606"/>
      <c r="T59" s="606">
        <f t="shared" si="64"/>
        <v>-1315169.1607527225</v>
      </c>
      <c r="U59" s="606"/>
      <c r="V59" s="606">
        <v>0</v>
      </c>
      <c r="W59" s="606"/>
      <c r="X59" s="606">
        <f t="shared" si="65"/>
        <v>-1315169.1607527225</v>
      </c>
      <c r="Y59" s="606"/>
      <c r="Z59" s="607" t="s">
        <v>1560</v>
      </c>
      <c r="AA59" s="606"/>
      <c r="AB59" s="606">
        <v>0</v>
      </c>
      <c r="AC59" s="606"/>
      <c r="AD59" s="620">
        <v>-465366.61755791062</v>
      </c>
      <c r="AE59" s="606"/>
      <c r="AF59" s="606">
        <v>0</v>
      </c>
      <c r="AG59" s="606"/>
      <c r="AH59" s="607" t="s">
        <v>1772</v>
      </c>
      <c r="AI59" s="606"/>
      <c r="AJ59" s="605">
        <f t="shared" si="55"/>
        <v>0</v>
      </c>
      <c r="AK59" s="606"/>
      <c r="AL59" s="605">
        <f t="shared" si="56"/>
        <v>-849802.54319481191</v>
      </c>
      <c r="AM59" s="606"/>
      <c r="AN59" s="605">
        <f t="shared" si="57"/>
        <v>0</v>
      </c>
      <c r="AO59" s="606"/>
      <c r="AP59" s="606">
        <f t="shared" si="58"/>
        <v>-849802.54319481191</v>
      </c>
      <c r="AR59" s="606">
        <v>0</v>
      </c>
      <c r="AS59" s="606"/>
      <c r="AT59" s="620">
        <v>-134477.68518949303</v>
      </c>
      <c r="AU59" s="606"/>
      <c r="AV59" s="606">
        <v>0</v>
      </c>
      <c r="AW59" s="606"/>
      <c r="AX59" s="605">
        <f t="shared" si="59"/>
        <v>0</v>
      </c>
      <c r="AY59" s="606"/>
      <c r="AZ59" s="605">
        <f t="shared" si="60"/>
        <v>-715324.85800531891</v>
      </c>
      <c r="BA59" s="606"/>
      <c r="BB59" s="605">
        <f t="shared" si="61"/>
        <v>0</v>
      </c>
      <c r="BC59" s="606"/>
      <c r="BD59" s="606">
        <f t="shared" si="62"/>
        <v>-715324.85800531891</v>
      </c>
      <c r="BF59" s="712">
        <f t="shared" si="63"/>
        <v>-993280.50000460842</v>
      </c>
      <c r="BH59" s="590">
        <f t="shared" si="53"/>
        <v>417</v>
      </c>
    </row>
    <row r="60" spans="1:60" ht="14.5">
      <c r="A60" s="590">
        <f t="shared" si="54"/>
        <v>418</v>
      </c>
      <c r="B60" s="622" t="s">
        <v>1809</v>
      </c>
      <c r="F60" s="715" t="s">
        <v>1766</v>
      </c>
      <c r="H60" s="723"/>
      <c r="J60" s="620">
        <v>-1300270.1541934409</v>
      </c>
      <c r="K60" s="606"/>
      <c r="L60" s="620">
        <v>-780162.11054283439</v>
      </c>
      <c r="M60" s="606"/>
      <c r="N60" s="620">
        <v>-520108.04365060659</v>
      </c>
      <c r="P60" s="713" t="s">
        <v>1762</v>
      </c>
      <c r="R60" s="606">
        <v>0</v>
      </c>
      <c r="S60" s="606"/>
      <c r="T60" s="606">
        <f t="shared" si="64"/>
        <v>-520108.04365060659</v>
      </c>
      <c r="U60" s="606"/>
      <c r="V60" s="606">
        <v>0</v>
      </c>
      <c r="W60" s="606"/>
      <c r="X60" s="606">
        <f t="shared" si="65"/>
        <v>-520108.04365060659</v>
      </c>
      <c r="Y60" s="606"/>
      <c r="Z60" s="607" t="s">
        <v>1560</v>
      </c>
      <c r="AA60" s="606"/>
      <c r="AB60" s="606">
        <v>0</v>
      </c>
      <c r="AC60" s="606"/>
      <c r="AD60" s="620">
        <v>-184037.86239924864</v>
      </c>
      <c r="AE60" s="606"/>
      <c r="AF60" s="606">
        <v>0</v>
      </c>
      <c r="AG60" s="606"/>
      <c r="AH60" s="607" t="s">
        <v>1772</v>
      </c>
      <c r="AI60" s="606"/>
      <c r="AJ60" s="605">
        <f t="shared" si="55"/>
        <v>0</v>
      </c>
      <c r="AK60" s="606"/>
      <c r="AL60" s="605">
        <f t="shared" si="56"/>
        <v>-336070.18125135795</v>
      </c>
      <c r="AM60" s="606"/>
      <c r="AN60" s="605">
        <f t="shared" si="57"/>
        <v>0</v>
      </c>
      <c r="AO60" s="606"/>
      <c r="AP60" s="606">
        <f t="shared" si="58"/>
        <v>-336070.18125135795</v>
      </c>
      <c r="AR60" s="606">
        <v>0</v>
      </c>
      <c r="AS60" s="606"/>
      <c r="AT60" s="620">
        <v>-53181.695439496383</v>
      </c>
      <c r="AU60" s="606"/>
      <c r="AV60" s="606">
        <v>0</v>
      </c>
      <c r="AW60" s="606"/>
      <c r="AX60" s="605">
        <f t="shared" si="59"/>
        <v>0</v>
      </c>
      <c r="AY60" s="606"/>
      <c r="AZ60" s="605">
        <f t="shared" si="60"/>
        <v>-282888.48581186158</v>
      </c>
      <c r="BA60" s="606"/>
      <c r="BB60" s="605">
        <f t="shared" si="61"/>
        <v>0</v>
      </c>
      <c r="BC60" s="606"/>
      <c r="BD60" s="606">
        <f t="shared" si="62"/>
        <v>-282888.48581186158</v>
      </c>
      <c r="BF60" s="712">
        <f t="shared" si="63"/>
        <v>-392811.20107622922</v>
      </c>
      <c r="BH60" s="590">
        <f t="shared" si="53"/>
        <v>418</v>
      </c>
    </row>
    <row r="61" spans="1:60" ht="14.5">
      <c r="A61" s="590">
        <f t="shared" si="54"/>
        <v>419</v>
      </c>
      <c r="B61" s="622" t="s">
        <v>1810</v>
      </c>
      <c r="F61" s="715" t="s">
        <v>1766</v>
      </c>
      <c r="H61" s="723"/>
      <c r="J61" s="620">
        <v>-9402052.2694172058</v>
      </c>
      <c r="K61" s="606"/>
      <c r="L61" s="620">
        <v>-5641231.3075700132</v>
      </c>
      <c r="M61" s="606"/>
      <c r="N61" s="620">
        <v>-3760820.9618471917</v>
      </c>
      <c r="P61" s="713" t="s">
        <v>1762</v>
      </c>
      <c r="R61" s="606">
        <v>0</v>
      </c>
      <c r="S61" s="606"/>
      <c r="T61" s="606">
        <f t="shared" si="64"/>
        <v>-3760820.9618471917</v>
      </c>
      <c r="U61" s="606"/>
      <c r="V61" s="606">
        <v>0</v>
      </c>
      <c r="W61" s="606"/>
      <c r="X61" s="606">
        <f t="shared" si="65"/>
        <v>-3760820.9618471917</v>
      </c>
      <c r="Y61" s="606"/>
      <c r="Z61" s="607" t="s">
        <v>1560</v>
      </c>
      <c r="AA61" s="606"/>
      <c r="AB61" s="606">
        <v>0</v>
      </c>
      <c r="AC61" s="606"/>
      <c r="AD61" s="620">
        <v>-1330749.36858619</v>
      </c>
      <c r="AE61" s="606"/>
      <c r="AF61" s="606">
        <v>0</v>
      </c>
      <c r="AG61" s="606"/>
      <c r="AH61" s="607" t="s">
        <v>1772</v>
      </c>
      <c r="AI61" s="606"/>
      <c r="AJ61" s="605">
        <f t="shared" si="55"/>
        <v>0</v>
      </c>
      <c r="AK61" s="606"/>
      <c r="AL61" s="605">
        <f t="shared" si="56"/>
        <v>-2430071.5932610016</v>
      </c>
      <c r="AM61" s="606"/>
      <c r="AN61" s="605">
        <f t="shared" si="57"/>
        <v>0</v>
      </c>
      <c r="AO61" s="606"/>
      <c r="AP61" s="606">
        <f t="shared" si="58"/>
        <v>-2430071.5932610016</v>
      </c>
      <c r="AR61" s="606">
        <v>0</v>
      </c>
      <c r="AS61" s="606"/>
      <c r="AT61" s="620">
        <v>-384548.62876489171</v>
      </c>
      <c r="AU61" s="606"/>
      <c r="AV61" s="606">
        <v>0</v>
      </c>
      <c r="AW61" s="606"/>
      <c r="AX61" s="605">
        <f t="shared" si="59"/>
        <v>0</v>
      </c>
      <c r="AY61" s="606"/>
      <c r="AZ61" s="605">
        <f t="shared" si="60"/>
        <v>-2045522.9644961099</v>
      </c>
      <c r="BA61" s="606"/>
      <c r="BB61" s="605">
        <f t="shared" si="61"/>
        <v>0</v>
      </c>
      <c r="BC61" s="606"/>
      <c r="BD61" s="606">
        <f t="shared" si="62"/>
        <v>-2045522.9644961099</v>
      </c>
      <c r="BF61" s="712">
        <f t="shared" si="63"/>
        <v>-2840357.1471166424</v>
      </c>
      <c r="BH61" s="590">
        <f t="shared" si="53"/>
        <v>419</v>
      </c>
    </row>
    <row r="62" spans="1:60" ht="14.5">
      <c r="A62" s="590">
        <f t="shared" si="54"/>
        <v>420</v>
      </c>
      <c r="B62" s="622" t="s">
        <v>1811</v>
      </c>
      <c r="F62" s="715" t="s">
        <v>1766</v>
      </c>
      <c r="H62" s="723"/>
      <c r="J62" s="620">
        <v>-940821.10647100396</v>
      </c>
      <c r="K62" s="606"/>
      <c r="L62" s="620">
        <v>-564492.76789537212</v>
      </c>
      <c r="M62" s="606"/>
      <c r="N62" s="620">
        <v>-376328.33857563185</v>
      </c>
      <c r="P62" s="713" t="s">
        <v>1762</v>
      </c>
      <c r="R62" s="606">
        <v>0</v>
      </c>
      <c r="S62" s="606"/>
      <c r="T62" s="606">
        <f t="shared" si="64"/>
        <v>-376328.33857563185</v>
      </c>
      <c r="U62" s="606"/>
      <c r="V62" s="606">
        <v>0</v>
      </c>
      <c r="W62" s="606"/>
      <c r="X62" s="606">
        <f t="shared" si="65"/>
        <v>-376328.33857563185</v>
      </c>
      <c r="Y62" s="606"/>
      <c r="Z62" s="607" t="s">
        <v>1560</v>
      </c>
      <c r="AA62" s="606"/>
      <c r="AB62" s="606">
        <v>0</v>
      </c>
      <c r="AC62" s="606"/>
      <c r="AD62" s="620">
        <v>-133162.06860712566</v>
      </c>
      <c r="AE62" s="606"/>
      <c r="AF62" s="606">
        <v>0</v>
      </c>
      <c r="AG62" s="606"/>
      <c r="AH62" s="607" t="s">
        <v>1772</v>
      </c>
      <c r="AI62" s="606"/>
      <c r="AJ62" s="605">
        <f t="shared" si="55"/>
        <v>0</v>
      </c>
      <c r="AK62" s="606"/>
      <c r="AL62" s="605">
        <f t="shared" si="56"/>
        <v>-243166.26996850618</v>
      </c>
      <c r="AM62" s="606"/>
      <c r="AN62" s="605">
        <f t="shared" si="57"/>
        <v>0</v>
      </c>
      <c r="AO62" s="606"/>
      <c r="AP62" s="606">
        <f t="shared" si="58"/>
        <v>-243166.26996850618</v>
      </c>
      <c r="AR62" s="606">
        <v>0</v>
      </c>
      <c r="AS62" s="606"/>
      <c r="AT62" s="620">
        <v>-38480.041467740899</v>
      </c>
      <c r="AU62" s="606"/>
      <c r="AV62" s="606">
        <v>0</v>
      </c>
      <c r="AW62" s="606"/>
      <c r="AX62" s="605">
        <f t="shared" si="59"/>
        <v>0</v>
      </c>
      <c r="AY62" s="606"/>
      <c r="AZ62" s="605">
        <f t="shared" si="60"/>
        <v>-204686.22850076528</v>
      </c>
      <c r="BA62" s="606"/>
      <c r="BB62" s="605">
        <f t="shared" si="61"/>
        <v>0</v>
      </c>
      <c r="BC62" s="606"/>
      <c r="BD62" s="606">
        <f t="shared" si="62"/>
        <v>-204686.22850076528</v>
      </c>
      <c r="BF62" s="712">
        <f t="shared" si="63"/>
        <v>-284221.68908854824</v>
      </c>
      <c r="BH62" s="590">
        <f t="shared" si="53"/>
        <v>420</v>
      </c>
    </row>
    <row r="63" spans="1:60" ht="14.5">
      <c r="A63" s="590">
        <f t="shared" si="54"/>
        <v>421</v>
      </c>
      <c r="B63" s="622" t="s">
        <v>1812</v>
      </c>
      <c r="F63" s="715" t="s">
        <v>1766</v>
      </c>
      <c r="H63" s="723"/>
      <c r="J63" s="620">
        <v>-97065.292183923128</v>
      </c>
      <c r="K63" s="606"/>
      <c r="L63" s="620">
        <v>-58239.170803661436</v>
      </c>
      <c r="M63" s="606"/>
      <c r="N63" s="620">
        <v>-38826.121380261699</v>
      </c>
      <c r="P63" s="713" t="s">
        <v>1762</v>
      </c>
      <c r="R63" s="606">
        <v>0</v>
      </c>
      <c r="S63" s="606"/>
      <c r="T63" s="606">
        <f t="shared" si="64"/>
        <v>-38826.121380261699</v>
      </c>
      <c r="U63" s="606"/>
      <c r="V63" s="606">
        <v>0</v>
      </c>
      <c r="W63" s="606"/>
      <c r="X63" s="606">
        <f t="shared" si="65"/>
        <v>-38826.121380261699</v>
      </c>
      <c r="Y63" s="606"/>
      <c r="Z63" s="607" t="s">
        <v>1560</v>
      </c>
      <c r="AA63" s="606"/>
      <c r="AB63" s="606">
        <v>0</v>
      </c>
      <c r="AC63" s="606"/>
      <c r="AD63" s="620">
        <v>-13738.4462157583</v>
      </c>
      <c r="AE63" s="606"/>
      <c r="AF63" s="606">
        <v>0</v>
      </c>
      <c r="AG63" s="606"/>
      <c r="AH63" s="607" t="s">
        <v>1772</v>
      </c>
      <c r="AI63" s="606"/>
      <c r="AJ63" s="605">
        <f t="shared" si="55"/>
        <v>0</v>
      </c>
      <c r="AK63" s="606"/>
      <c r="AL63" s="605">
        <f t="shared" si="56"/>
        <v>-25087.675164503398</v>
      </c>
      <c r="AM63" s="606"/>
      <c r="AN63" s="605">
        <f t="shared" si="57"/>
        <v>0</v>
      </c>
      <c r="AO63" s="606"/>
      <c r="AP63" s="606">
        <f t="shared" si="58"/>
        <v>-25087.675164503398</v>
      </c>
      <c r="AR63" s="606">
        <v>0</v>
      </c>
      <c r="AS63" s="606"/>
      <c r="AT63" s="620">
        <v>-3970.0192826263915</v>
      </c>
      <c r="AU63" s="606"/>
      <c r="AV63" s="606">
        <v>0</v>
      </c>
      <c r="AW63" s="606"/>
      <c r="AX63" s="605">
        <f t="shared" si="59"/>
        <v>0</v>
      </c>
      <c r="AY63" s="606"/>
      <c r="AZ63" s="605">
        <f t="shared" si="60"/>
        <v>-21117.655881877006</v>
      </c>
      <c r="BA63" s="606"/>
      <c r="BB63" s="605">
        <f t="shared" si="61"/>
        <v>0</v>
      </c>
      <c r="BC63" s="606"/>
      <c r="BD63" s="606">
        <f t="shared" si="62"/>
        <v>-21117.655881877006</v>
      </c>
      <c r="BF63" s="712">
        <f t="shared" si="63"/>
        <v>-29323.398395194712</v>
      </c>
      <c r="BH63" s="590">
        <f t="shared" si="53"/>
        <v>421</v>
      </c>
    </row>
    <row r="64" spans="1:60" ht="14.5">
      <c r="A64" s="590">
        <f t="shared" si="54"/>
        <v>422</v>
      </c>
      <c r="B64" s="622" t="s">
        <v>1813</v>
      </c>
      <c r="F64" s="715" t="s">
        <v>1766</v>
      </c>
      <c r="H64" s="723"/>
      <c r="J64" s="620">
        <v>-261.08771586334626</v>
      </c>
      <c r="K64" s="606"/>
      <c r="L64" s="620">
        <v>-156.63009605576406</v>
      </c>
      <c r="M64" s="606"/>
      <c r="N64" s="620">
        <v>-104.45761980758219</v>
      </c>
      <c r="P64" s="713" t="s">
        <v>1762</v>
      </c>
      <c r="R64" s="606">
        <v>0</v>
      </c>
      <c r="S64" s="606"/>
      <c r="T64" s="606">
        <f t="shared" si="64"/>
        <v>-104.45761980758219</v>
      </c>
      <c r="U64" s="606"/>
      <c r="V64" s="606">
        <v>0</v>
      </c>
      <c r="W64" s="606"/>
      <c r="X64" s="606">
        <f t="shared" si="65"/>
        <v>-104.45761980758219</v>
      </c>
      <c r="Y64" s="606"/>
      <c r="Z64" s="607" t="s">
        <v>1560</v>
      </c>
      <c r="AA64" s="606"/>
      <c r="AB64" s="606">
        <v>0</v>
      </c>
      <c r="AC64" s="606"/>
      <c r="AD64" s="620">
        <v>-36.961853013784712</v>
      </c>
      <c r="AE64" s="606"/>
      <c r="AF64" s="606">
        <v>0</v>
      </c>
      <c r="AG64" s="606"/>
      <c r="AH64" s="607" t="s">
        <v>1772</v>
      </c>
      <c r="AI64" s="606"/>
      <c r="AJ64" s="605">
        <f t="shared" si="55"/>
        <v>0</v>
      </c>
      <c r="AK64" s="606"/>
      <c r="AL64" s="605">
        <f t="shared" si="56"/>
        <v>-67.495766793797486</v>
      </c>
      <c r="AM64" s="606"/>
      <c r="AN64" s="605">
        <f t="shared" si="57"/>
        <v>0</v>
      </c>
      <c r="AO64" s="606"/>
      <c r="AP64" s="606">
        <f t="shared" si="58"/>
        <v>-67.495766793797486</v>
      </c>
      <c r="AR64" s="606">
        <v>0</v>
      </c>
      <c r="AS64" s="606"/>
      <c r="AT64" s="620">
        <v>-10.680921763773732</v>
      </c>
      <c r="AU64" s="606"/>
      <c r="AV64" s="606">
        <v>0</v>
      </c>
      <c r="AW64" s="606"/>
      <c r="AX64" s="605">
        <f t="shared" si="59"/>
        <v>0</v>
      </c>
      <c r="AY64" s="606"/>
      <c r="AZ64" s="605">
        <f t="shared" si="60"/>
        <v>-56.814845030023754</v>
      </c>
      <c r="BA64" s="606"/>
      <c r="BB64" s="605">
        <f t="shared" si="61"/>
        <v>0</v>
      </c>
      <c r="BC64" s="606"/>
      <c r="BD64" s="606">
        <f t="shared" si="62"/>
        <v>-56.814845030023754</v>
      </c>
      <c r="BF64" s="712">
        <f t="shared" si="63"/>
        <v>-78.89153724710448</v>
      </c>
      <c r="BH64" s="590">
        <f t="shared" si="53"/>
        <v>422</v>
      </c>
    </row>
    <row r="65" spans="1:60" ht="14.5">
      <c r="A65" s="590">
        <f t="shared" si="54"/>
        <v>423</v>
      </c>
      <c r="B65" s="622" t="s">
        <v>1814</v>
      </c>
      <c r="F65" s="715" t="s">
        <v>1766</v>
      </c>
      <c r="H65" s="723"/>
      <c r="J65" s="620">
        <v>371735.72841851</v>
      </c>
      <c r="K65" s="606"/>
      <c r="L65" s="620">
        <v>223041.47761133805</v>
      </c>
      <c r="M65" s="606"/>
      <c r="N65" s="620">
        <v>148694.25080717195</v>
      </c>
      <c r="P65" s="713" t="s">
        <v>1762</v>
      </c>
      <c r="R65" s="606">
        <v>0</v>
      </c>
      <c r="S65" s="606"/>
      <c r="T65" s="606">
        <f t="shared" si="64"/>
        <v>148694.25080717195</v>
      </c>
      <c r="U65" s="606"/>
      <c r="V65" s="606">
        <v>0</v>
      </c>
      <c r="W65" s="606"/>
      <c r="X65" s="606">
        <f t="shared" si="65"/>
        <v>148694.25080717195</v>
      </c>
      <c r="Y65" s="606"/>
      <c r="Z65" s="607" t="s">
        <v>1560</v>
      </c>
      <c r="AA65" s="606"/>
      <c r="AB65" s="606">
        <v>0</v>
      </c>
      <c r="AC65" s="606"/>
      <c r="AD65" s="620">
        <v>52614.783416026024</v>
      </c>
      <c r="AE65" s="606"/>
      <c r="AF65" s="606">
        <v>0</v>
      </c>
      <c r="AG65" s="606"/>
      <c r="AH65" s="607" t="s">
        <v>1772</v>
      </c>
      <c r="AI65" s="606"/>
      <c r="AJ65" s="605">
        <f t="shared" si="55"/>
        <v>0</v>
      </c>
      <c r="AK65" s="606"/>
      <c r="AL65" s="605">
        <f t="shared" si="56"/>
        <v>96079.467391145925</v>
      </c>
      <c r="AM65" s="606"/>
      <c r="AN65" s="605">
        <f t="shared" si="57"/>
        <v>0</v>
      </c>
      <c r="AO65" s="606"/>
      <c r="AP65" s="606">
        <f t="shared" si="58"/>
        <v>96079.467391145925</v>
      </c>
      <c r="AR65" s="606">
        <v>0</v>
      </c>
      <c r="AS65" s="606"/>
      <c r="AT65" s="620">
        <v>15204.172395655827</v>
      </c>
      <c r="AU65" s="606"/>
      <c r="AV65" s="606">
        <v>0</v>
      </c>
      <c r="AW65" s="606"/>
      <c r="AX65" s="605">
        <f t="shared" si="59"/>
        <v>0</v>
      </c>
      <c r="AY65" s="606"/>
      <c r="AZ65" s="605">
        <f t="shared" si="60"/>
        <v>80875.294995490098</v>
      </c>
      <c r="BA65" s="606"/>
      <c r="BB65" s="605">
        <f t="shared" si="61"/>
        <v>0</v>
      </c>
      <c r="BC65" s="606"/>
      <c r="BD65" s="606">
        <f t="shared" si="62"/>
        <v>80875.294995490098</v>
      </c>
      <c r="BF65" s="712">
        <f t="shared" si="63"/>
        <v>112301.2188827685</v>
      </c>
      <c r="BH65" s="590">
        <f t="shared" si="53"/>
        <v>423</v>
      </c>
    </row>
    <row r="66" spans="1:60" ht="14.5">
      <c r="A66" s="590">
        <f t="shared" si="54"/>
        <v>424</v>
      </c>
      <c r="B66" s="622" t="s">
        <v>1815</v>
      </c>
      <c r="F66" s="715" t="s">
        <v>1766</v>
      </c>
      <c r="H66" s="723"/>
      <c r="J66" s="620">
        <v>39627.125800000002</v>
      </c>
      <c r="K66" s="606"/>
      <c r="L66" s="620">
        <v>23771.092473216002</v>
      </c>
      <c r="M66" s="606"/>
      <c r="N66" s="620">
        <v>15856.033326784</v>
      </c>
      <c r="P66" s="713" t="s">
        <v>1762</v>
      </c>
      <c r="R66" s="606">
        <v>0</v>
      </c>
      <c r="S66" s="606"/>
      <c r="T66" s="606">
        <f t="shared" si="64"/>
        <v>15856.033326784</v>
      </c>
      <c r="U66" s="606"/>
      <c r="V66" s="606">
        <v>0</v>
      </c>
      <c r="W66" s="606"/>
      <c r="X66" s="606">
        <f t="shared" si="65"/>
        <v>15856.033326784</v>
      </c>
      <c r="Y66" s="606"/>
      <c r="Z66" s="607" t="s">
        <v>1560</v>
      </c>
      <c r="AA66" s="606"/>
      <c r="AB66" s="606">
        <v>0</v>
      </c>
      <c r="AC66" s="606"/>
      <c r="AD66" s="620">
        <v>5610.5851759387051</v>
      </c>
      <c r="AE66" s="606"/>
      <c r="AF66" s="606">
        <v>0</v>
      </c>
      <c r="AG66" s="606"/>
      <c r="AH66" s="607" t="s">
        <v>1772</v>
      </c>
      <c r="AI66" s="606"/>
      <c r="AJ66" s="605">
        <f t="shared" si="55"/>
        <v>0</v>
      </c>
      <c r="AK66" s="606"/>
      <c r="AL66" s="605">
        <f t="shared" si="56"/>
        <v>10245.448150845295</v>
      </c>
      <c r="AM66" s="606"/>
      <c r="AN66" s="605">
        <f t="shared" si="57"/>
        <v>0</v>
      </c>
      <c r="AO66" s="606"/>
      <c r="AP66" s="606">
        <f t="shared" si="58"/>
        <v>10245.448150845295</v>
      </c>
      <c r="AR66" s="606">
        <v>0</v>
      </c>
      <c r="AS66" s="606"/>
      <c r="AT66" s="620">
        <v>1621.2991618910676</v>
      </c>
      <c r="AU66" s="606"/>
      <c r="AV66" s="606">
        <v>0</v>
      </c>
      <c r="AW66" s="606"/>
      <c r="AX66" s="605">
        <f t="shared" si="59"/>
        <v>0</v>
      </c>
      <c r="AY66" s="606"/>
      <c r="AZ66" s="605">
        <f t="shared" si="60"/>
        <v>8624.1489889542281</v>
      </c>
      <c r="BA66" s="606"/>
      <c r="BB66" s="605">
        <f t="shared" si="61"/>
        <v>0</v>
      </c>
      <c r="BC66" s="606"/>
      <c r="BD66" s="606">
        <f t="shared" si="62"/>
        <v>8624.1489889542281</v>
      </c>
      <c r="BF66" s="712">
        <f t="shared" si="63"/>
        <v>11975.257009450941</v>
      </c>
      <c r="BH66" s="590">
        <f t="shared" si="53"/>
        <v>424</v>
      </c>
    </row>
    <row r="67" spans="1:60" ht="14.5">
      <c r="A67" s="590">
        <f t="shared" si="54"/>
        <v>425</v>
      </c>
      <c r="B67" s="622" t="s">
        <v>1816</v>
      </c>
      <c r="F67" s="715" t="s">
        <v>1766</v>
      </c>
      <c r="H67" s="723"/>
      <c r="J67" s="620">
        <v>4858877.9765368579</v>
      </c>
      <c r="K67" s="606"/>
      <c r="L67" s="620">
        <v>2914698.7054959484</v>
      </c>
      <c r="M67" s="606"/>
      <c r="N67" s="620">
        <v>1944179.2710409102</v>
      </c>
      <c r="P67" s="713" t="s">
        <v>1762</v>
      </c>
      <c r="R67" s="606">
        <v>0</v>
      </c>
      <c r="S67" s="606"/>
      <c r="T67" s="606">
        <f t="shared" si="64"/>
        <v>1944179.2710409102</v>
      </c>
      <c r="U67" s="606"/>
      <c r="V67" s="606">
        <v>0</v>
      </c>
      <c r="W67" s="606"/>
      <c r="X67" s="606">
        <f t="shared" si="65"/>
        <v>1944179.2710409102</v>
      </c>
      <c r="Y67" s="606"/>
      <c r="Z67" s="607" t="s">
        <v>1560</v>
      </c>
      <c r="AA67" s="606"/>
      <c r="AB67" s="606">
        <v>0</v>
      </c>
      <c r="AC67" s="606"/>
      <c r="AD67" s="620">
        <v>687938.98023938248</v>
      </c>
      <c r="AE67" s="606"/>
      <c r="AF67" s="606">
        <v>0</v>
      </c>
      <c r="AG67" s="606"/>
      <c r="AH67" s="607" t="s">
        <v>1772</v>
      </c>
      <c r="AI67" s="606"/>
      <c r="AJ67" s="605">
        <f t="shared" si="55"/>
        <v>0</v>
      </c>
      <c r="AK67" s="606"/>
      <c r="AL67" s="605">
        <f t="shared" si="56"/>
        <v>1256240.2908015277</v>
      </c>
      <c r="AM67" s="606"/>
      <c r="AN67" s="605">
        <f t="shared" si="57"/>
        <v>0</v>
      </c>
      <c r="AO67" s="606"/>
      <c r="AP67" s="606">
        <f t="shared" si="58"/>
        <v>1256240.2908015277</v>
      </c>
      <c r="AR67" s="606">
        <v>0</v>
      </c>
      <c r="AS67" s="606"/>
      <c r="AT67" s="620">
        <v>198794.7526182413</v>
      </c>
      <c r="AU67" s="606"/>
      <c r="AV67" s="606">
        <v>0</v>
      </c>
      <c r="AW67" s="606"/>
      <c r="AX67" s="605">
        <f t="shared" si="59"/>
        <v>0</v>
      </c>
      <c r="AY67" s="606"/>
      <c r="AZ67" s="605">
        <f t="shared" si="60"/>
        <v>1057445.5381832863</v>
      </c>
      <c r="BA67" s="606"/>
      <c r="BB67" s="605">
        <f t="shared" si="61"/>
        <v>0</v>
      </c>
      <c r="BC67" s="606"/>
      <c r="BD67" s="606">
        <f t="shared" si="62"/>
        <v>1057445.5381832863</v>
      </c>
      <c r="BF67" s="712">
        <f t="shared" si="63"/>
        <v>1468339.9033876813</v>
      </c>
      <c r="BH67" s="590">
        <f t="shared" si="53"/>
        <v>425</v>
      </c>
    </row>
    <row r="68" spans="1:60" ht="14.5">
      <c r="A68" s="590">
        <f t="shared" si="54"/>
        <v>426</v>
      </c>
      <c r="B68" s="622" t="s">
        <v>1817</v>
      </c>
      <c r="F68" s="715" t="s">
        <v>1766</v>
      </c>
      <c r="H68" s="723"/>
      <c r="J68" s="620">
        <v>1290770.57171274</v>
      </c>
      <c r="K68" s="606"/>
      <c r="L68" s="620">
        <v>774295.40260003391</v>
      </c>
      <c r="M68" s="606"/>
      <c r="N68" s="620">
        <v>516475.16911270609</v>
      </c>
      <c r="P68" s="713" t="s">
        <v>1762</v>
      </c>
      <c r="R68" s="606">
        <v>0</v>
      </c>
      <c r="S68" s="606"/>
      <c r="T68" s="606">
        <f t="shared" si="64"/>
        <v>516475.16911270609</v>
      </c>
      <c r="U68" s="606"/>
      <c r="V68" s="606">
        <v>0</v>
      </c>
      <c r="W68" s="606"/>
      <c r="X68" s="606">
        <f t="shared" si="65"/>
        <v>516475.16911270609</v>
      </c>
      <c r="Y68" s="606"/>
      <c r="Z68" s="607" t="s">
        <v>1560</v>
      </c>
      <c r="AA68" s="606"/>
      <c r="AB68" s="606">
        <v>0</v>
      </c>
      <c r="AC68" s="606"/>
      <c r="AD68" s="620">
        <v>182752.38629004048</v>
      </c>
      <c r="AE68" s="606"/>
      <c r="AF68" s="606">
        <v>0</v>
      </c>
      <c r="AG68" s="606"/>
      <c r="AH68" s="607" t="s">
        <v>1772</v>
      </c>
      <c r="AI68" s="606"/>
      <c r="AJ68" s="605">
        <f t="shared" si="55"/>
        <v>0</v>
      </c>
      <c r="AK68" s="606"/>
      <c r="AL68" s="605">
        <f t="shared" si="56"/>
        <v>333722.78282266564</v>
      </c>
      <c r="AM68" s="606"/>
      <c r="AN68" s="605">
        <f t="shared" si="57"/>
        <v>0</v>
      </c>
      <c r="AO68" s="606"/>
      <c r="AP68" s="606">
        <f t="shared" si="58"/>
        <v>333722.78282266564</v>
      </c>
      <c r="AR68" s="606">
        <v>0</v>
      </c>
      <c r="AS68" s="606"/>
      <c r="AT68" s="620">
        <v>52810.229491982012</v>
      </c>
      <c r="AU68" s="606"/>
      <c r="AV68" s="606">
        <v>0</v>
      </c>
      <c r="AW68" s="606"/>
      <c r="AX68" s="605">
        <f t="shared" si="59"/>
        <v>0</v>
      </c>
      <c r="AY68" s="606"/>
      <c r="AZ68" s="605">
        <f t="shared" si="60"/>
        <v>280912.55333068362</v>
      </c>
      <c r="BA68" s="606"/>
      <c r="BB68" s="605">
        <f t="shared" si="61"/>
        <v>0</v>
      </c>
      <c r="BC68" s="606"/>
      <c r="BD68" s="606">
        <f t="shared" si="62"/>
        <v>280912.55333068362</v>
      </c>
      <c r="BF68" s="712">
        <f t="shared" si="63"/>
        <v>390067.47536767123</v>
      </c>
      <c r="BH68" s="590">
        <f t="shared" si="53"/>
        <v>426</v>
      </c>
    </row>
    <row r="69" spans="1:60" ht="14.5">
      <c r="A69" s="590">
        <f t="shared" si="54"/>
        <v>427</v>
      </c>
      <c r="B69" s="622" t="s">
        <v>1818</v>
      </c>
      <c r="F69" s="715" t="s">
        <v>1766</v>
      </c>
      <c r="H69" s="723"/>
      <c r="J69" s="620">
        <v>1949491.3032683765</v>
      </c>
      <c r="K69" s="606"/>
      <c r="L69" s="620">
        <v>1169442.4782304987</v>
      </c>
      <c r="M69" s="606"/>
      <c r="N69" s="620">
        <v>780048.82503787789</v>
      </c>
      <c r="P69" s="713" t="s">
        <v>1762</v>
      </c>
      <c r="R69" s="606">
        <v>0</v>
      </c>
      <c r="S69" s="606"/>
      <c r="T69" s="606">
        <f t="shared" si="64"/>
        <v>780048.82503787789</v>
      </c>
      <c r="U69" s="606"/>
      <c r="V69" s="606">
        <v>0</v>
      </c>
      <c r="W69" s="606"/>
      <c r="X69" s="606">
        <f t="shared" si="65"/>
        <v>780048.82503787789</v>
      </c>
      <c r="Y69" s="606"/>
      <c r="Z69" s="607" t="s">
        <v>1560</v>
      </c>
      <c r="AA69" s="606"/>
      <c r="AB69" s="606">
        <v>0</v>
      </c>
      <c r="AC69" s="606"/>
      <c r="AD69" s="620">
        <v>276016.72398563207</v>
      </c>
      <c r="AE69" s="606"/>
      <c r="AF69" s="606">
        <v>0</v>
      </c>
      <c r="AG69" s="606"/>
      <c r="AH69" s="607" t="s">
        <v>1772</v>
      </c>
      <c r="AI69" s="606"/>
      <c r="AJ69" s="605">
        <f t="shared" si="55"/>
        <v>0</v>
      </c>
      <c r="AK69" s="606"/>
      <c r="AL69" s="605">
        <f t="shared" si="56"/>
        <v>504032.10105224582</v>
      </c>
      <c r="AM69" s="606"/>
      <c r="AN69" s="605">
        <f t="shared" si="57"/>
        <v>0</v>
      </c>
      <c r="AO69" s="606"/>
      <c r="AP69" s="606">
        <f t="shared" si="58"/>
        <v>504032.10105224582</v>
      </c>
      <c r="AR69" s="606">
        <v>0</v>
      </c>
      <c r="AS69" s="606"/>
      <c r="AT69" s="620">
        <v>79760.964183375298</v>
      </c>
      <c r="AU69" s="606"/>
      <c r="AV69" s="606">
        <v>0</v>
      </c>
      <c r="AW69" s="606"/>
      <c r="AX69" s="605">
        <f t="shared" si="59"/>
        <v>0</v>
      </c>
      <c r="AY69" s="606"/>
      <c r="AZ69" s="605">
        <f t="shared" si="60"/>
        <v>424271.13686887053</v>
      </c>
      <c r="BA69" s="606"/>
      <c r="BB69" s="605">
        <f t="shared" si="61"/>
        <v>0</v>
      </c>
      <c r="BC69" s="606"/>
      <c r="BD69" s="606">
        <f t="shared" si="62"/>
        <v>424271.13686887053</v>
      </c>
      <c r="BF69" s="712">
        <f t="shared" si="63"/>
        <v>589131.27686036855</v>
      </c>
      <c r="BH69" s="590">
        <f t="shared" si="53"/>
        <v>427</v>
      </c>
    </row>
    <row r="70" spans="1:60" ht="14.5">
      <c r="A70" s="590">
        <f t="shared" si="54"/>
        <v>428</v>
      </c>
      <c r="B70" s="622" t="s">
        <v>1819</v>
      </c>
      <c r="F70" s="715" t="s">
        <v>1766</v>
      </c>
      <c r="H70" s="723"/>
      <c r="J70" s="620">
        <v>46022.343286475691</v>
      </c>
      <c r="K70" s="606"/>
      <c r="L70" s="620">
        <v>27769.044679727383</v>
      </c>
      <c r="M70" s="606"/>
      <c r="N70" s="620">
        <v>18253.298606748307</v>
      </c>
      <c r="P70" s="713" t="s">
        <v>1762</v>
      </c>
      <c r="R70" s="606">
        <v>0</v>
      </c>
      <c r="S70" s="606"/>
      <c r="T70" s="606">
        <f t="shared" si="64"/>
        <v>18253.298606748307</v>
      </c>
      <c r="U70" s="606"/>
      <c r="V70" s="606">
        <v>0</v>
      </c>
      <c r="W70" s="606"/>
      <c r="X70" s="606">
        <f t="shared" si="65"/>
        <v>18253.298606748307</v>
      </c>
      <c r="Y70" s="606"/>
      <c r="Z70" s="607" t="s">
        <v>1560</v>
      </c>
      <c r="AA70" s="606"/>
      <c r="AB70" s="606">
        <v>0</v>
      </c>
      <c r="AC70" s="606"/>
      <c r="AD70" s="620">
        <v>6458.8465768428305</v>
      </c>
      <c r="AE70" s="606"/>
      <c r="AF70" s="606">
        <v>0</v>
      </c>
      <c r="AG70" s="606"/>
      <c r="AH70" s="607" t="s">
        <v>1772</v>
      </c>
      <c r="AI70" s="606"/>
      <c r="AJ70" s="605">
        <f t="shared" si="55"/>
        <v>0</v>
      </c>
      <c r="AK70" s="606"/>
      <c r="AL70" s="605">
        <f t="shared" si="56"/>
        <v>11794.452029905477</v>
      </c>
      <c r="AM70" s="606"/>
      <c r="AN70" s="605">
        <f t="shared" si="57"/>
        <v>0</v>
      </c>
      <c r="AO70" s="606"/>
      <c r="AP70" s="606">
        <f t="shared" si="58"/>
        <v>11794.452029905477</v>
      </c>
      <c r="AR70" s="606">
        <v>0</v>
      </c>
      <c r="AS70" s="606"/>
      <c r="AT70" s="620">
        <v>1866.4225233985958</v>
      </c>
      <c r="AU70" s="606"/>
      <c r="AV70" s="606">
        <v>0</v>
      </c>
      <c r="AW70" s="606"/>
      <c r="AX70" s="605">
        <f t="shared" si="59"/>
        <v>0</v>
      </c>
      <c r="AY70" s="606"/>
      <c r="AZ70" s="605">
        <f t="shared" si="60"/>
        <v>9928.0295065068804</v>
      </c>
      <c r="BA70" s="606"/>
      <c r="BB70" s="605">
        <f t="shared" si="61"/>
        <v>0</v>
      </c>
      <c r="BC70" s="606"/>
      <c r="BD70" s="606">
        <f t="shared" si="62"/>
        <v>9928.0295065068804</v>
      </c>
      <c r="BF70" s="712">
        <f t="shared" si="63"/>
        <v>13785.789773588904</v>
      </c>
      <c r="BH70" s="590">
        <f t="shared" si="53"/>
        <v>428</v>
      </c>
    </row>
    <row r="71" spans="1:60" ht="14.5">
      <c r="A71" s="590">
        <f t="shared" si="54"/>
        <v>429</v>
      </c>
      <c r="B71" s="622" t="s">
        <v>1820</v>
      </c>
      <c r="F71" s="715" t="s">
        <v>1766</v>
      </c>
      <c r="H71" s="723"/>
      <c r="J71" s="620">
        <v>10.21516955046464</v>
      </c>
      <c r="K71" s="606"/>
      <c r="L71" s="620">
        <v>6.1868835363948245</v>
      </c>
      <c r="M71" s="606"/>
      <c r="N71" s="620">
        <v>4.028286014069816</v>
      </c>
      <c r="P71" s="713" t="s">
        <v>1762</v>
      </c>
      <c r="R71" s="606">
        <v>0</v>
      </c>
      <c r="S71" s="606"/>
      <c r="T71" s="606">
        <f t="shared" si="64"/>
        <v>4.028286014069816</v>
      </c>
      <c r="U71" s="606"/>
      <c r="V71" s="606">
        <v>0</v>
      </c>
      <c r="W71" s="606"/>
      <c r="X71" s="606">
        <f t="shared" si="65"/>
        <v>4.028286014069816</v>
      </c>
      <c r="Y71" s="606"/>
      <c r="Z71" s="607" t="s">
        <v>1560</v>
      </c>
      <c r="AA71" s="606"/>
      <c r="AB71" s="606">
        <v>0</v>
      </c>
      <c r="AC71" s="606"/>
      <c r="AD71" s="620">
        <v>1.4253906591381631</v>
      </c>
      <c r="AE71" s="606"/>
      <c r="AF71" s="606">
        <v>0</v>
      </c>
      <c r="AG71" s="606"/>
      <c r="AH71" s="607" t="s">
        <v>1772</v>
      </c>
      <c r="AI71" s="606"/>
      <c r="AJ71" s="605">
        <f t="shared" si="55"/>
        <v>0</v>
      </c>
      <c r="AK71" s="606"/>
      <c r="AL71" s="605">
        <f t="shared" si="56"/>
        <v>2.6028953549316531</v>
      </c>
      <c r="AM71" s="606"/>
      <c r="AN71" s="605">
        <f t="shared" si="57"/>
        <v>0</v>
      </c>
      <c r="AO71" s="606"/>
      <c r="AP71" s="606">
        <f t="shared" si="58"/>
        <v>2.6028953549316531</v>
      </c>
      <c r="AR71" s="606">
        <v>0</v>
      </c>
      <c r="AS71" s="606"/>
      <c r="AT71" s="620">
        <v>0.41189726357579265</v>
      </c>
      <c r="AU71" s="606"/>
      <c r="AV71" s="606">
        <v>0</v>
      </c>
      <c r="AW71" s="606"/>
      <c r="AX71" s="605">
        <f t="shared" si="59"/>
        <v>0</v>
      </c>
      <c r="AY71" s="606"/>
      <c r="AZ71" s="605">
        <f t="shared" si="60"/>
        <v>2.1909980913558607</v>
      </c>
      <c r="BA71" s="606"/>
      <c r="BB71" s="605">
        <f t="shared" si="61"/>
        <v>0</v>
      </c>
      <c r="BC71" s="606"/>
      <c r="BD71" s="606">
        <f t="shared" si="62"/>
        <v>2.1909980913558607</v>
      </c>
      <c r="BF71" s="712">
        <f t="shared" si="63"/>
        <v>3.0423599226785294</v>
      </c>
      <c r="BH71" s="590">
        <f t="shared" si="53"/>
        <v>429</v>
      </c>
    </row>
    <row r="72" spans="1:60" ht="14.5">
      <c r="A72" s="590">
        <f t="shared" si="54"/>
        <v>430</v>
      </c>
      <c r="B72" s="622" t="s">
        <v>1821</v>
      </c>
      <c r="F72" s="715" t="s">
        <v>1766</v>
      </c>
      <c r="H72" s="723"/>
      <c r="J72" s="620">
        <v>79588.641600000003</v>
      </c>
      <c r="K72" s="606"/>
      <c r="L72" s="620">
        <v>47742.789596543997</v>
      </c>
      <c r="M72" s="606"/>
      <c r="N72" s="620">
        <v>31845.852003456002</v>
      </c>
      <c r="P72" s="713" t="s">
        <v>1762</v>
      </c>
      <c r="R72" s="606">
        <v>0</v>
      </c>
      <c r="S72" s="606"/>
      <c r="T72" s="606">
        <f t="shared" si="64"/>
        <v>31845.852003456002</v>
      </c>
      <c r="U72" s="606"/>
      <c r="V72" s="606">
        <v>0</v>
      </c>
      <c r="W72" s="606"/>
      <c r="X72" s="606">
        <f t="shared" si="65"/>
        <v>31845.852003456002</v>
      </c>
      <c r="Y72" s="606"/>
      <c r="Z72" s="607" t="s">
        <v>1560</v>
      </c>
      <c r="AA72" s="606"/>
      <c r="AB72" s="606">
        <v>0</v>
      </c>
      <c r="AC72" s="606"/>
      <c r="AD72" s="620">
        <v>11268.509688606193</v>
      </c>
      <c r="AE72" s="606"/>
      <c r="AF72" s="606">
        <v>0</v>
      </c>
      <c r="AG72" s="606"/>
      <c r="AH72" s="607" t="s">
        <v>1772</v>
      </c>
      <c r="AI72" s="606"/>
      <c r="AJ72" s="605">
        <f t="shared" si="55"/>
        <v>0</v>
      </c>
      <c r="AK72" s="606"/>
      <c r="AL72" s="605">
        <f t="shared" si="56"/>
        <v>20577.342314849811</v>
      </c>
      <c r="AM72" s="606"/>
      <c r="AN72" s="605">
        <f t="shared" si="57"/>
        <v>0</v>
      </c>
      <c r="AO72" s="606"/>
      <c r="AP72" s="606">
        <f t="shared" si="58"/>
        <v>20577.342314849811</v>
      </c>
      <c r="AR72" s="606">
        <v>0</v>
      </c>
      <c r="AS72" s="606"/>
      <c r="AT72" s="620">
        <v>3256.2780424845641</v>
      </c>
      <c r="AU72" s="606"/>
      <c r="AV72" s="606">
        <v>0</v>
      </c>
      <c r="AW72" s="606"/>
      <c r="AX72" s="605">
        <f t="shared" si="59"/>
        <v>0</v>
      </c>
      <c r="AY72" s="606"/>
      <c r="AZ72" s="605">
        <f t="shared" si="60"/>
        <v>17321.064272365249</v>
      </c>
      <c r="BA72" s="606"/>
      <c r="BB72" s="605">
        <f t="shared" si="61"/>
        <v>0</v>
      </c>
      <c r="BC72" s="606"/>
      <c r="BD72" s="606">
        <f t="shared" si="62"/>
        <v>17321.064272365249</v>
      </c>
      <c r="BF72" s="712">
        <f t="shared" si="63"/>
        <v>24051.555301799657</v>
      </c>
      <c r="BH72" s="590">
        <f t="shared" si="53"/>
        <v>430</v>
      </c>
    </row>
    <row r="73" spans="1:60" ht="14.5">
      <c r="A73" s="590">
        <f t="shared" si="54"/>
        <v>431</v>
      </c>
      <c r="B73" s="622" t="s">
        <v>1822</v>
      </c>
      <c r="F73" s="715" t="s">
        <v>1766</v>
      </c>
      <c r="H73" s="723"/>
      <c r="J73" s="620">
        <v>138316.12419999999</v>
      </c>
      <c r="K73" s="606"/>
      <c r="L73" s="620">
        <v>82971.771394048003</v>
      </c>
      <c r="M73" s="606"/>
      <c r="N73" s="620">
        <v>55344.352805952003</v>
      </c>
      <c r="P73" s="713" t="s">
        <v>1762</v>
      </c>
      <c r="R73" s="606">
        <v>0</v>
      </c>
      <c r="S73" s="606"/>
      <c r="T73" s="606">
        <f t="shared" si="64"/>
        <v>55344.352805952003</v>
      </c>
      <c r="U73" s="606"/>
      <c r="V73" s="606">
        <v>0</v>
      </c>
      <c r="W73" s="606"/>
      <c r="X73" s="606">
        <f t="shared" si="65"/>
        <v>55344.352805952003</v>
      </c>
      <c r="Y73" s="606"/>
      <c r="Z73" s="607" t="s">
        <v>1560</v>
      </c>
      <c r="AA73" s="606"/>
      <c r="AB73" s="606">
        <v>0</v>
      </c>
      <c r="AC73" s="606"/>
      <c r="AD73" s="620">
        <v>19583.347172995382</v>
      </c>
      <c r="AE73" s="606"/>
      <c r="AF73" s="606">
        <v>0</v>
      </c>
      <c r="AG73" s="606"/>
      <c r="AH73" s="607" t="s">
        <v>1772</v>
      </c>
      <c r="AI73" s="606"/>
      <c r="AJ73" s="605">
        <f t="shared" si="55"/>
        <v>0</v>
      </c>
      <c r="AK73" s="606"/>
      <c r="AL73" s="605">
        <f t="shared" si="56"/>
        <v>35761.005632956621</v>
      </c>
      <c r="AM73" s="606"/>
      <c r="AN73" s="605">
        <f t="shared" si="57"/>
        <v>0</v>
      </c>
      <c r="AO73" s="606"/>
      <c r="AP73" s="606">
        <f t="shared" si="58"/>
        <v>35761.005632956621</v>
      </c>
      <c r="AR73" s="606">
        <v>0</v>
      </c>
      <c r="AS73" s="606"/>
      <c r="AT73" s="620">
        <v>5659.029025129641</v>
      </c>
      <c r="AU73" s="606"/>
      <c r="AV73" s="606">
        <v>0</v>
      </c>
      <c r="AW73" s="606"/>
      <c r="AX73" s="605">
        <f t="shared" si="59"/>
        <v>0</v>
      </c>
      <c r="AY73" s="606"/>
      <c r="AZ73" s="605">
        <f t="shared" si="60"/>
        <v>30101.976607826982</v>
      </c>
      <c r="BA73" s="606"/>
      <c r="BB73" s="605">
        <f t="shared" si="61"/>
        <v>0</v>
      </c>
      <c r="BC73" s="606"/>
      <c r="BD73" s="606">
        <f t="shared" si="62"/>
        <v>30101.976607826982</v>
      </c>
      <c r="BF73" s="712">
        <f t="shared" si="63"/>
        <v>41798.780010979419</v>
      </c>
      <c r="BH73" s="590">
        <f t="shared" si="53"/>
        <v>431</v>
      </c>
    </row>
    <row r="74" spans="1:60" ht="14.5">
      <c r="A74" s="590">
        <f t="shared" si="54"/>
        <v>432</v>
      </c>
      <c r="B74" s="622" t="s">
        <v>1823</v>
      </c>
      <c r="F74" s="715" t="s">
        <v>1766</v>
      </c>
      <c r="H74" s="723"/>
      <c r="J74" s="620">
        <v>42824.849600000001</v>
      </c>
      <c r="K74" s="606"/>
      <c r="L74" s="620">
        <v>25839.92877952</v>
      </c>
      <c r="M74" s="606"/>
      <c r="N74" s="620">
        <v>16984.920820480002</v>
      </c>
      <c r="P74" s="713" t="s">
        <v>1762</v>
      </c>
      <c r="R74" s="606">
        <v>0</v>
      </c>
      <c r="S74" s="606"/>
      <c r="T74" s="606">
        <f t="shared" si="64"/>
        <v>16984.920820480002</v>
      </c>
      <c r="U74" s="606"/>
      <c r="V74" s="606">
        <v>0</v>
      </c>
      <c r="W74" s="606"/>
      <c r="X74" s="606">
        <f t="shared" si="65"/>
        <v>16984.920820480002</v>
      </c>
      <c r="Y74" s="606"/>
      <c r="Z74" s="607" t="s">
        <v>1560</v>
      </c>
      <c r="AA74" s="606"/>
      <c r="AB74" s="606">
        <v>0</v>
      </c>
      <c r="AC74" s="606"/>
      <c r="AD74" s="620">
        <v>6010.036874033618</v>
      </c>
      <c r="AE74" s="606"/>
      <c r="AF74" s="606">
        <v>0</v>
      </c>
      <c r="AG74" s="606"/>
      <c r="AH74" s="607" t="s">
        <v>1772</v>
      </c>
      <c r="AI74" s="606"/>
      <c r="AJ74" s="605">
        <f t="shared" si="55"/>
        <v>0</v>
      </c>
      <c r="AK74" s="606"/>
      <c r="AL74" s="605">
        <f t="shared" si="56"/>
        <v>10974.883946446384</v>
      </c>
      <c r="AM74" s="606"/>
      <c r="AN74" s="605">
        <f t="shared" si="57"/>
        <v>0</v>
      </c>
      <c r="AO74" s="606"/>
      <c r="AP74" s="606">
        <f t="shared" si="58"/>
        <v>10974.883946446384</v>
      </c>
      <c r="AR74" s="606">
        <v>0</v>
      </c>
      <c r="AS74" s="606"/>
      <c r="AT74" s="620">
        <v>1736.7293145451342</v>
      </c>
      <c r="AU74" s="606"/>
      <c r="AV74" s="606">
        <v>0</v>
      </c>
      <c r="AW74" s="606"/>
      <c r="AX74" s="605">
        <f t="shared" si="59"/>
        <v>0</v>
      </c>
      <c r="AY74" s="606"/>
      <c r="AZ74" s="605">
        <f t="shared" si="60"/>
        <v>9238.1546319012486</v>
      </c>
      <c r="BA74" s="606"/>
      <c r="BB74" s="605">
        <f t="shared" si="61"/>
        <v>0</v>
      </c>
      <c r="BC74" s="606"/>
      <c r="BD74" s="606">
        <f t="shared" si="62"/>
        <v>9238.1546319012486</v>
      </c>
      <c r="BF74" s="712">
        <f t="shared" si="63"/>
        <v>12827.848423277543</v>
      </c>
      <c r="BH74" s="590">
        <f t="shared" ref="BH74:BH99" si="66">A74</f>
        <v>432</v>
      </c>
    </row>
    <row r="75" spans="1:60" ht="14.5">
      <c r="A75" s="590">
        <f t="shared" si="54"/>
        <v>433</v>
      </c>
      <c r="B75" s="622" t="s">
        <v>1824</v>
      </c>
      <c r="F75" s="715" t="s">
        <v>1766</v>
      </c>
      <c r="H75" s="723"/>
      <c r="J75" s="620">
        <v>-176949.63399999999</v>
      </c>
      <c r="K75" s="606"/>
      <c r="L75" s="620">
        <v>-106152.043895808</v>
      </c>
      <c r="M75" s="606"/>
      <c r="N75" s="620">
        <v>-70797.590104192001</v>
      </c>
      <c r="P75" s="713" t="s">
        <v>1762</v>
      </c>
      <c r="R75" s="606">
        <v>0</v>
      </c>
      <c r="S75" s="606"/>
      <c r="T75" s="606">
        <f t="shared" si="64"/>
        <v>-70797.590104192001</v>
      </c>
      <c r="U75" s="606"/>
      <c r="V75" s="606">
        <v>0</v>
      </c>
      <c r="W75" s="606"/>
      <c r="X75" s="606">
        <f t="shared" si="65"/>
        <v>-70797.590104192001</v>
      </c>
      <c r="Y75" s="606"/>
      <c r="Z75" s="607" t="s">
        <v>1560</v>
      </c>
      <c r="AA75" s="606"/>
      <c r="AB75" s="606">
        <v>0</v>
      </c>
      <c r="AC75" s="606"/>
      <c r="AD75" s="620">
        <v>-25051.404808779484</v>
      </c>
      <c r="AE75" s="606"/>
      <c r="AF75" s="606">
        <v>0</v>
      </c>
      <c r="AG75" s="606"/>
      <c r="AH75" s="607" t="s">
        <v>1772</v>
      </c>
      <c r="AI75" s="606"/>
      <c r="AJ75" s="605">
        <f t="shared" si="55"/>
        <v>0</v>
      </c>
      <c r="AK75" s="606"/>
      <c r="AL75" s="605">
        <f t="shared" si="56"/>
        <v>-45746.185295412521</v>
      </c>
      <c r="AM75" s="606"/>
      <c r="AN75" s="605">
        <f t="shared" si="57"/>
        <v>0</v>
      </c>
      <c r="AO75" s="606"/>
      <c r="AP75" s="606">
        <f t="shared" si="58"/>
        <v>-45746.185295412521</v>
      </c>
      <c r="AR75" s="606">
        <v>0</v>
      </c>
      <c r="AS75" s="606"/>
      <c r="AT75" s="620">
        <v>-7239.1417912789511</v>
      </c>
      <c r="AU75" s="606"/>
      <c r="AV75" s="606">
        <v>0</v>
      </c>
      <c r="AW75" s="606"/>
      <c r="AX75" s="605">
        <f t="shared" ref="AX75:AX99" si="67">+AJ75-AR75</f>
        <v>0</v>
      </c>
      <c r="AY75" s="606"/>
      <c r="AZ75" s="605">
        <f t="shared" ref="AZ75:AZ99" si="68">+AL75-AT75</f>
        <v>-38507.043504133573</v>
      </c>
      <c r="BA75" s="606"/>
      <c r="BB75" s="605">
        <f t="shared" ref="BB75:BB99" si="69">+AN75-AV75</f>
        <v>0</v>
      </c>
      <c r="BC75" s="606"/>
      <c r="BD75" s="606">
        <f t="shared" si="62"/>
        <v>-38507.043504133573</v>
      </c>
      <c r="BF75" s="712">
        <f t="shared" si="63"/>
        <v>-53469.825628792292</v>
      </c>
      <c r="BH75" s="590">
        <f t="shared" si="66"/>
        <v>433</v>
      </c>
    </row>
    <row r="76" spans="1:60" ht="14.5">
      <c r="A76" s="590">
        <f t="shared" si="54"/>
        <v>434</v>
      </c>
      <c r="B76" s="622" t="s">
        <v>1825</v>
      </c>
      <c r="F76" s="715" t="s">
        <v>1766</v>
      </c>
      <c r="H76" s="723"/>
      <c r="J76" s="620">
        <v>19042.077400000002</v>
      </c>
      <c r="K76" s="606"/>
      <c r="L76" s="620">
        <v>11423.045504128</v>
      </c>
      <c r="M76" s="606"/>
      <c r="N76" s="620">
        <v>7619.0318958720009</v>
      </c>
      <c r="P76" s="713" t="s">
        <v>1762</v>
      </c>
      <c r="R76" s="606">
        <v>0</v>
      </c>
      <c r="S76" s="606"/>
      <c r="T76" s="606">
        <f t="shared" si="64"/>
        <v>7619.0318958720009</v>
      </c>
      <c r="U76" s="606"/>
      <c r="V76" s="606">
        <v>0</v>
      </c>
      <c r="W76" s="606"/>
      <c r="X76" s="606">
        <f t="shared" si="65"/>
        <v>7619.0318958720009</v>
      </c>
      <c r="Y76" s="606"/>
      <c r="Z76" s="607" t="s">
        <v>1560</v>
      </c>
      <c r="AA76" s="606"/>
      <c r="AB76" s="606">
        <v>0</v>
      </c>
      <c r="AC76" s="606"/>
      <c r="AD76" s="620">
        <v>2695.9597352620999</v>
      </c>
      <c r="AE76" s="606"/>
      <c r="AF76" s="606">
        <v>0</v>
      </c>
      <c r="AG76" s="606"/>
      <c r="AH76" s="607" t="s">
        <v>1772</v>
      </c>
      <c r="AI76" s="606"/>
      <c r="AJ76" s="605">
        <f t="shared" si="55"/>
        <v>0</v>
      </c>
      <c r="AK76" s="606"/>
      <c r="AL76" s="605">
        <f t="shared" si="56"/>
        <v>4923.0721606099014</v>
      </c>
      <c r="AM76" s="606"/>
      <c r="AN76" s="605">
        <f t="shared" si="57"/>
        <v>0</v>
      </c>
      <c r="AO76" s="606"/>
      <c r="AP76" s="606">
        <f t="shared" si="58"/>
        <v>4923.0721606099014</v>
      </c>
      <c r="AR76" s="606">
        <v>0</v>
      </c>
      <c r="AS76" s="606"/>
      <c r="AT76" s="620">
        <v>779.05550351816976</v>
      </c>
      <c r="AU76" s="606"/>
      <c r="AV76" s="606">
        <v>0</v>
      </c>
      <c r="AW76" s="606"/>
      <c r="AX76" s="605">
        <f t="shared" si="67"/>
        <v>0</v>
      </c>
      <c r="AY76" s="606"/>
      <c r="AZ76" s="605">
        <f t="shared" si="68"/>
        <v>4144.0166570917318</v>
      </c>
      <c r="BA76" s="606"/>
      <c r="BB76" s="605">
        <f t="shared" si="69"/>
        <v>0</v>
      </c>
      <c r="BC76" s="606"/>
      <c r="BD76" s="606">
        <f t="shared" si="62"/>
        <v>4144.0166570917318</v>
      </c>
      <c r="BF76" s="712">
        <f t="shared" si="63"/>
        <v>5754.2679960283094</v>
      </c>
      <c r="BH76" s="590">
        <f t="shared" si="66"/>
        <v>434</v>
      </c>
    </row>
    <row r="77" spans="1:60" ht="14.5">
      <c r="A77" s="590">
        <f t="shared" si="54"/>
        <v>435</v>
      </c>
      <c r="B77" s="622" t="s">
        <v>1826</v>
      </c>
      <c r="F77" s="715" t="s">
        <v>1766</v>
      </c>
      <c r="H77" s="723"/>
      <c r="J77" s="620">
        <v>186182.91084647487</v>
      </c>
      <c r="K77" s="606"/>
      <c r="L77" s="620">
        <v>112339.01732682377</v>
      </c>
      <c r="M77" s="606"/>
      <c r="N77" s="620">
        <v>73843.893519651116</v>
      </c>
      <c r="P77" s="713" t="s">
        <v>1762</v>
      </c>
      <c r="R77" s="606">
        <v>0</v>
      </c>
      <c r="S77" s="606"/>
      <c r="T77" s="606">
        <f t="shared" si="64"/>
        <v>73843.893519651116</v>
      </c>
      <c r="U77" s="606"/>
      <c r="V77" s="606">
        <v>0</v>
      </c>
      <c r="W77" s="606"/>
      <c r="X77" s="606">
        <f t="shared" si="65"/>
        <v>73843.893519651116</v>
      </c>
      <c r="Y77" s="606"/>
      <c r="Z77" s="607" t="s">
        <v>1560</v>
      </c>
      <c r="AA77" s="606"/>
      <c r="AB77" s="606">
        <v>0</v>
      </c>
      <c r="AC77" s="606"/>
      <c r="AD77" s="620">
        <v>26129.325397866247</v>
      </c>
      <c r="AE77" s="606"/>
      <c r="AF77" s="606">
        <v>0</v>
      </c>
      <c r="AG77" s="606"/>
      <c r="AH77" s="607" t="s">
        <v>1772</v>
      </c>
      <c r="AI77" s="606"/>
      <c r="AJ77" s="605">
        <f t="shared" si="55"/>
        <v>0</v>
      </c>
      <c r="AK77" s="606"/>
      <c r="AL77" s="605">
        <f t="shared" si="56"/>
        <v>47714.568121784869</v>
      </c>
      <c r="AM77" s="606"/>
      <c r="AN77" s="605">
        <f t="shared" si="57"/>
        <v>0</v>
      </c>
      <c r="AO77" s="606"/>
      <c r="AP77" s="606">
        <f t="shared" si="58"/>
        <v>47714.568121784869</v>
      </c>
      <c r="AR77" s="606">
        <v>0</v>
      </c>
      <c r="AS77" s="606"/>
      <c r="AT77" s="620">
        <v>7550.6301107445042</v>
      </c>
      <c r="AU77" s="606"/>
      <c r="AV77" s="606">
        <v>0</v>
      </c>
      <c r="AW77" s="606"/>
      <c r="AX77" s="605">
        <f t="shared" si="67"/>
        <v>0</v>
      </c>
      <c r="AY77" s="606"/>
      <c r="AZ77" s="605">
        <f t="shared" si="68"/>
        <v>40163.938011040365</v>
      </c>
      <c r="BA77" s="606"/>
      <c r="BB77" s="605">
        <f t="shared" si="69"/>
        <v>0</v>
      </c>
      <c r="BC77" s="606"/>
      <c r="BD77" s="606">
        <f t="shared" si="62"/>
        <v>40163.938011040365</v>
      </c>
      <c r="BF77" s="712">
        <f t="shared" si="63"/>
        <v>55770.543946990358</v>
      </c>
      <c r="BH77" s="590">
        <f t="shared" si="66"/>
        <v>435</v>
      </c>
    </row>
    <row r="78" spans="1:60" ht="14.5">
      <c r="A78" s="590">
        <f t="shared" si="54"/>
        <v>436</v>
      </c>
      <c r="B78" s="622" t="s">
        <v>1827</v>
      </c>
      <c r="F78" s="715" t="s">
        <v>1766</v>
      </c>
      <c r="H78" s="723"/>
      <c r="J78" s="620">
        <v>-44233.094088579019</v>
      </c>
      <c r="K78" s="606"/>
      <c r="L78" s="620">
        <v>-26689.47596975568</v>
      </c>
      <c r="M78" s="606"/>
      <c r="N78" s="620">
        <v>-17543.618118823335</v>
      </c>
      <c r="P78" s="713" t="s">
        <v>1762</v>
      </c>
      <c r="R78" s="606">
        <v>0</v>
      </c>
      <c r="S78" s="606"/>
      <c r="T78" s="606">
        <f t="shared" si="64"/>
        <v>-17543.618118823335</v>
      </c>
      <c r="U78" s="606"/>
      <c r="V78" s="606">
        <v>0</v>
      </c>
      <c r="W78" s="606"/>
      <c r="X78" s="606">
        <f t="shared" si="65"/>
        <v>-17543.618118823335</v>
      </c>
      <c r="Y78" s="606"/>
      <c r="Z78" s="607" t="s">
        <v>1560</v>
      </c>
      <c r="AA78" s="606"/>
      <c r="AB78" s="606">
        <v>0</v>
      </c>
      <c r="AC78" s="606"/>
      <c r="AD78" s="620">
        <v>-6207.7293684500555</v>
      </c>
      <c r="AE78" s="606"/>
      <c r="AF78" s="606">
        <v>0</v>
      </c>
      <c r="AG78" s="606"/>
      <c r="AH78" s="607" t="s">
        <v>1772</v>
      </c>
      <c r="AI78" s="606"/>
      <c r="AJ78" s="605">
        <f t="shared" si="55"/>
        <v>0</v>
      </c>
      <c r="AK78" s="606"/>
      <c r="AL78" s="605">
        <f t="shared" si="56"/>
        <v>-11335.88875037328</v>
      </c>
      <c r="AM78" s="606"/>
      <c r="AN78" s="605">
        <f t="shared" si="57"/>
        <v>0</v>
      </c>
      <c r="AO78" s="606"/>
      <c r="AP78" s="606">
        <f t="shared" si="58"/>
        <v>-11335.88875037328</v>
      </c>
      <c r="AR78" s="606">
        <v>0</v>
      </c>
      <c r="AS78" s="606"/>
      <c r="AT78" s="620">
        <v>-1793.8568093533563</v>
      </c>
      <c r="AU78" s="606"/>
      <c r="AV78" s="606">
        <v>0</v>
      </c>
      <c r="AW78" s="606"/>
      <c r="AX78" s="605">
        <f t="shared" si="67"/>
        <v>0</v>
      </c>
      <c r="AY78" s="606"/>
      <c r="AZ78" s="605">
        <f t="shared" si="68"/>
        <v>-9542.0319410199245</v>
      </c>
      <c r="BA78" s="606"/>
      <c r="BB78" s="605">
        <f t="shared" si="69"/>
        <v>0</v>
      </c>
      <c r="BC78" s="606"/>
      <c r="BD78" s="606">
        <f t="shared" si="62"/>
        <v>-9542.0319410199245</v>
      </c>
      <c r="BF78" s="712">
        <f t="shared" si="63"/>
        <v>-13249.804129364871</v>
      </c>
      <c r="BH78" s="590">
        <f t="shared" si="66"/>
        <v>436</v>
      </c>
    </row>
    <row r="79" spans="1:60" ht="14.5">
      <c r="A79" s="590">
        <f t="shared" si="54"/>
        <v>437</v>
      </c>
      <c r="B79" s="622" t="s">
        <v>1828</v>
      </c>
      <c r="F79" s="715" t="s">
        <v>1766</v>
      </c>
      <c r="H79" s="723"/>
      <c r="J79" s="620">
        <v>617494.83598150895</v>
      </c>
      <c r="K79" s="606"/>
      <c r="L79" s="620">
        <v>372585.0544452038</v>
      </c>
      <c r="M79" s="606"/>
      <c r="N79" s="620">
        <v>244909.78153630506</v>
      </c>
      <c r="P79" s="713" t="s">
        <v>1762</v>
      </c>
      <c r="R79" s="606">
        <v>0</v>
      </c>
      <c r="S79" s="606"/>
      <c r="T79" s="606">
        <f t="shared" si="64"/>
        <v>244909.78153630506</v>
      </c>
      <c r="U79" s="606"/>
      <c r="V79" s="606">
        <v>0</v>
      </c>
      <c r="W79" s="606"/>
      <c r="X79" s="606">
        <f t="shared" si="65"/>
        <v>244909.78153630506</v>
      </c>
      <c r="Y79" s="606"/>
      <c r="Z79" s="607" t="s">
        <v>1560</v>
      </c>
      <c r="AA79" s="606"/>
      <c r="AB79" s="606">
        <v>0</v>
      </c>
      <c r="AC79" s="606"/>
      <c r="AD79" s="620">
        <v>86660.21074822497</v>
      </c>
      <c r="AE79" s="606"/>
      <c r="AF79" s="606">
        <v>0</v>
      </c>
      <c r="AG79" s="606"/>
      <c r="AH79" s="607" t="s">
        <v>1772</v>
      </c>
      <c r="AI79" s="606"/>
      <c r="AJ79" s="605">
        <f t="shared" si="55"/>
        <v>0</v>
      </c>
      <c r="AK79" s="606"/>
      <c r="AL79" s="605">
        <f t="shared" si="56"/>
        <v>158249.57078808011</v>
      </c>
      <c r="AM79" s="606"/>
      <c r="AN79" s="605">
        <f t="shared" si="57"/>
        <v>0</v>
      </c>
      <c r="AO79" s="606"/>
      <c r="AP79" s="606">
        <f t="shared" si="58"/>
        <v>158249.57078808011</v>
      </c>
      <c r="AR79" s="606">
        <v>0</v>
      </c>
      <c r="AS79" s="606"/>
      <c r="AT79" s="620">
        <v>25042.330282757554</v>
      </c>
      <c r="AU79" s="606"/>
      <c r="AV79" s="606">
        <v>0</v>
      </c>
      <c r="AW79" s="606"/>
      <c r="AX79" s="605">
        <f t="shared" si="67"/>
        <v>0</v>
      </c>
      <c r="AY79" s="606"/>
      <c r="AZ79" s="605">
        <f t="shared" si="68"/>
        <v>133207.24050532255</v>
      </c>
      <c r="BA79" s="606"/>
      <c r="BB79" s="605">
        <f t="shared" si="69"/>
        <v>0</v>
      </c>
      <c r="BC79" s="606"/>
      <c r="BD79" s="606">
        <f t="shared" si="62"/>
        <v>133207.24050532255</v>
      </c>
      <c r="BF79" s="712">
        <f t="shared" si="63"/>
        <v>184967.92467454987</v>
      </c>
      <c r="BH79" s="590">
        <f t="shared" si="66"/>
        <v>437</v>
      </c>
    </row>
    <row r="80" spans="1:60" ht="14.5">
      <c r="A80" s="590">
        <f t="shared" si="54"/>
        <v>438</v>
      </c>
      <c r="B80" s="622" t="s">
        <v>1829</v>
      </c>
      <c r="F80" s="715" t="s">
        <v>1766</v>
      </c>
      <c r="H80" s="723"/>
      <c r="J80" s="620">
        <v>1864201.3516246921</v>
      </c>
      <c r="K80" s="606"/>
      <c r="L80" s="620">
        <v>1124691.1101175349</v>
      </c>
      <c r="M80" s="606"/>
      <c r="N80" s="620">
        <v>739510.24150715722</v>
      </c>
      <c r="P80" s="713" t="s">
        <v>1762</v>
      </c>
      <c r="R80" s="606">
        <v>0</v>
      </c>
      <c r="S80" s="606"/>
      <c r="T80" s="606">
        <f t="shared" si="64"/>
        <v>739510.24150715722</v>
      </c>
      <c r="U80" s="606"/>
      <c r="V80" s="606">
        <v>0</v>
      </c>
      <c r="W80" s="606"/>
      <c r="X80" s="606">
        <f t="shared" si="65"/>
        <v>739510.24150715722</v>
      </c>
      <c r="Y80" s="606"/>
      <c r="Z80" s="607" t="s">
        <v>1560</v>
      </c>
      <c r="AA80" s="606"/>
      <c r="AB80" s="606">
        <v>0</v>
      </c>
      <c r="AC80" s="606"/>
      <c r="AD80" s="620">
        <v>261672.33083739027</v>
      </c>
      <c r="AE80" s="606"/>
      <c r="AF80" s="606">
        <v>0</v>
      </c>
      <c r="AG80" s="606"/>
      <c r="AH80" s="607" t="s">
        <v>1772</v>
      </c>
      <c r="AI80" s="606"/>
      <c r="AJ80" s="605">
        <f t="shared" si="55"/>
        <v>0</v>
      </c>
      <c r="AK80" s="606"/>
      <c r="AL80" s="605">
        <f t="shared" si="56"/>
        <v>477837.91066976695</v>
      </c>
      <c r="AM80" s="606"/>
      <c r="AN80" s="605">
        <f t="shared" si="57"/>
        <v>0</v>
      </c>
      <c r="AO80" s="606"/>
      <c r="AP80" s="606">
        <f t="shared" si="58"/>
        <v>477837.91066976695</v>
      </c>
      <c r="AR80" s="606">
        <v>0</v>
      </c>
      <c r="AS80" s="606"/>
      <c r="AT80" s="620">
        <v>75615.843512394771</v>
      </c>
      <c r="AU80" s="606"/>
      <c r="AV80" s="606">
        <v>0</v>
      </c>
      <c r="AW80" s="606"/>
      <c r="AX80" s="605">
        <f t="shared" si="67"/>
        <v>0</v>
      </c>
      <c r="AY80" s="606"/>
      <c r="AZ80" s="605">
        <f t="shared" si="68"/>
        <v>402222.06715737219</v>
      </c>
      <c r="BA80" s="606"/>
      <c r="BB80" s="605">
        <f t="shared" si="69"/>
        <v>0</v>
      </c>
      <c r="BC80" s="606"/>
      <c r="BD80" s="606">
        <f t="shared" si="62"/>
        <v>402222.06715737219</v>
      </c>
      <c r="BF80" s="712">
        <f t="shared" si="63"/>
        <v>558514.54273939296</v>
      </c>
      <c r="BH80" s="590">
        <f t="shared" si="66"/>
        <v>438</v>
      </c>
    </row>
    <row r="81" spans="1:60" ht="14.5">
      <c r="A81" s="590">
        <f t="shared" si="54"/>
        <v>439</v>
      </c>
      <c r="B81" s="622" t="s">
        <v>1830</v>
      </c>
      <c r="F81" s="715" t="s">
        <v>1766</v>
      </c>
      <c r="H81" s="723"/>
      <c r="J81" s="620">
        <v>-122080.81916864363</v>
      </c>
      <c r="K81" s="606"/>
      <c r="L81" s="620">
        <v>-73662.261069185886</v>
      </c>
      <c r="M81" s="606"/>
      <c r="N81" s="620">
        <v>-48418.558099457739</v>
      </c>
      <c r="P81" s="713" t="s">
        <v>1762</v>
      </c>
      <c r="R81" s="606">
        <v>0</v>
      </c>
      <c r="S81" s="606"/>
      <c r="T81" s="606">
        <f t="shared" si="64"/>
        <v>-48418.558099457739</v>
      </c>
      <c r="U81" s="606"/>
      <c r="V81" s="606">
        <v>0</v>
      </c>
      <c r="W81" s="606"/>
      <c r="X81" s="606">
        <f t="shared" si="65"/>
        <v>-48418.558099457739</v>
      </c>
      <c r="Y81" s="606"/>
      <c r="Z81" s="607" t="s">
        <v>1560</v>
      </c>
      <c r="AA81" s="606"/>
      <c r="AB81" s="606">
        <v>0</v>
      </c>
      <c r="AC81" s="606"/>
      <c r="AD81" s="620">
        <v>-17132.68625982658</v>
      </c>
      <c r="AE81" s="606"/>
      <c r="AF81" s="606">
        <v>0</v>
      </c>
      <c r="AG81" s="606"/>
      <c r="AH81" s="607" t="s">
        <v>1772</v>
      </c>
      <c r="AI81" s="606"/>
      <c r="AJ81" s="605">
        <f t="shared" si="55"/>
        <v>0</v>
      </c>
      <c r="AK81" s="606"/>
      <c r="AL81" s="605">
        <f t="shared" si="56"/>
        <v>-31285.87183963116</v>
      </c>
      <c r="AM81" s="606"/>
      <c r="AN81" s="605">
        <f t="shared" si="57"/>
        <v>0</v>
      </c>
      <c r="AO81" s="606"/>
      <c r="AP81" s="606">
        <f t="shared" si="58"/>
        <v>-31285.87183963116</v>
      </c>
      <c r="AR81" s="606">
        <v>0</v>
      </c>
      <c r="AS81" s="606"/>
      <c r="AT81" s="620">
        <v>-4950.8578878943854</v>
      </c>
      <c r="AU81" s="606"/>
      <c r="AV81" s="606">
        <v>0</v>
      </c>
      <c r="AW81" s="606"/>
      <c r="AX81" s="605">
        <f t="shared" si="67"/>
        <v>0</v>
      </c>
      <c r="AY81" s="606"/>
      <c r="AZ81" s="605">
        <f t="shared" si="68"/>
        <v>-26335.013951736775</v>
      </c>
      <c r="BA81" s="606"/>
      <c r="BB81" s="605">
        <f t="shared" si="69"/>
        <v>0</v>
      </c>
      <c r="BC81" s="606"/>
      <c r="BD81" s="606">
        <f t="shared" si="62"/>
        <v>-26335.013951736775</v>
      </c>
      <c r="BF81" s="712">
        <f t="shared" si="63"/>
        <v>-36568.078870558333</v>
      </c>
      <c r="BH81" s="590">
        <f t="shared" si="66"/>
        <v>439</v>
      </c>
    </row>
    <row r="82" spans="1:60" ht="14.5">
      <c r="A82" s="590">
        <f t="shared" si="54"/>
        <v>440</v>
      </c>
      <c r="B82" s="622" t="s">
        <v>1831</v>
      </c>
      <c r="F82" s="715" t="s">
        <v>1766</v>
      </c>
      <c r="H82" s="723"/>
      <c r="J82" s="620">
        <v>-34475.896786654914</v>
      </c>
      <c r="K82" s="606"/>
      <c r="L82" s="620">
        <v>-20681.103871194482</v>
      </c>
      <c r="M82" s="606"/>
      <c r="N82" s="620">
        <v>-13794.792915460432</v>
      </c>
      <c r="P82" s="713" t="s">
        <v>1762</v>
      </c>
      <c r="R82" s="606">
        <v>0</v>
      </c>
      <c r="S82" s="606"/>
      <c r="T82" s="606">
        <f t="shared" si="64"/>
        <v>-13794.792915460432</v>
      </c>
      <c r="U82" s="606"/>
      <c r="V82" s="606">
        <v>0</v>
      </c>
      <c r="W82" s="606"/>
      <c r="X82" s="606">
        <f t="shared" si="65"/>
        <v>-13794.792915460432</v>
      </c>
      <c r="Y82" s="606"/>
      <c r="Z82" s="607" t="s">
        <v>1560</v>
      </c>
      <c r="AA82" s="606"/>
      <c r="AB82" s="606">
        <v>0</v>
      </c>
      <c r="AC82" s="606"/>
      <c r="AD82" s="620">
        <v>-4881.2246443685171</v>
      </c>
      <c r="AE82" s="606"/>
      <c r="AF82" s="606">
        <v>0</v>
      </c>
      <c r="AG82" s="606"/>
      <c r="AH82" s="607" t="s">
        <v>1772</v>
      </c>
      <c r="AI82" s="606"/>
      <c r="AJ82" s="605">
        <f t="shared" si="55"/>
        <v>0</v>
      </c>
      <c r="AK82" s="606"/>
      <c r="AL82" s="605">
        <f t="shared" si="56"/>
        <v>-8913.5682710919136</v>
      </c>
      <c r="AM82" s="606"/>
      <c r="AN82" s="605">
        <f t="shared" si="57"/>
        <v>0</v>
      </c>
      <c r="AO82" s="606"/>
      <c r="AP82" s="606">
        <f t="shared" si="58"/>
        <v>-8913.5682710919136</v>
      </c>
      <c r="AR82" s="606">
        <v>0</v>
      </c>
      <c r="AS82" s="606"/>
      <c r="AT82" s="620">
        <v>-1410.5347618383898</v>
      </c>
      <c r="AU82" s="606"/>
      <c r="AV82" s="606">
        <v>0</v>
      </c>
      <c r="AW82" s="606"/>
      <c r="AX82" s="605">
        <f t="shared" si="67"/>
        <v>0</v>
      </c>
      <c r="AY82" s="606"/>
      <c r="AZ82" s="605">
        <f t="shared" si="68"/>
        <v>-7503.0335092535242</v>
      </c>
      <c r="BA82" s="606"/>
      <c r="BB82" s="605">
        <f t="shared" si="69"/>
        <v>0</v>
      </c>
      <c r="BC82" s="606"/>
      <c r="BD82" s="606">
        <f t="shared" si="62"/>
        <v>-7503.0335092535242</v>
      </c>
      <c r="BF82" s="712">
        <f t="shared" si="63"/>
        <v>-10418.506769643474</v>
      </c>
      <c r="BH82" s="590">
        <f t="shared" si="66"/>
        <v>440</v>
      </c>
    </row>
    <row r="83" spans="1:60" ht="14.5">
      <c r="A83" s="590">
        <f t="shared" si="54"/>
        <v>441</v>
      </c>
      <c r="B83" s="622" t="s">
        <v>1832</v>
      </c>
      <c r="F83" s="715" t="s">
        <v>1766</v>
      </c>
      <c r="H83" s="723"/>
      <c r="J83" s="620">
        <v>73984.116584648276</v>
      </c>
      <c r="K83" s="606"/>
      <c r="L83" s="620">
        <v>58565.418742607122</v>
      </c>
      <c r="M83" s="606"/>
      <c r="N83" s="620">
        <v>15418.697842041158</v>
      </c>
      <c r="P83" s="713" t="s">
        <v>1762</v>
      </c>
      <c r="R83" s="606">
        <v>0</v>
      </c>
      <c r="S83" s="606"/>
      <c r="T83" s="606">
        <f t="shared" si="64"/>
        <v>15418.697842041158</v>
      </c>
      <c r="U83" s="606"/>
      <c r="V83" s="606">
        <v>0</v>
      </c>
      <c r="W83" s="606"/>
      <c r="X83" s="606">
        <f t="shared" si="65"/>
        <v>15418.697842041158</v>
      </c>
      <c r="Y83" s="606"/>
      <c r="Z83" s="607" t="s">
        <v>1560</v>
      </c>
      <c r="AA83" s="606"/>
      <c r="AB83" s="606">
        <v>0</v>
      </c>
      <c r="AC83" s="606"/>
      <c r="AD83" s="620">
        <v>5455.8360065190527</v>
      </c>
      <c r="AE83" s="606"/>
      <c r="AF83" s="606">
        <v>0</v>
      </c>
      <c r="AG83" s="606"/>
      <c r="AH83" s="607" t="s">
        <v>1772</v>
      </c>
      <c r="AI83" s="606"/>
      <c r="AJ83" s="605">
        <f t="shared" si="55"/>
        <v>0</v>
      </c>
      <c r="AK83" s="606"/>
      <c r="AL83" s="605">
        <f t="shared" si="56"/>
        <v>9962.8618355221042</v>
      </c>
      <c r="AM83" s="606"/>
      <c r="AN83" s="605">
        <f t="shared" si="57"/>
        <v>0</v>
      </c>
      <c r="AO83" s="606"/>
      <c r="AP83" s="606">
        <f t="shared" si="58"/>
        <v>9962.8618355221042</v>
      </c>
      <c r="AR83" s="606">
        <v>0</v>
      </c>
      <c r="AS83" s="606"/>
      <c r="AT83" s="620">
        <v>1576.5810637220216</v>
      </c>
      <c r="AU83" s="606"/>
      <c r="AV83" s="606">
        <v>0</v>
      </c>
      <c r="AW83" s="606"/>
      <c r="AX83" s="605">
        <f t="shared" si="67"/>
        <v>0</v>
      </c>
      <c r="AY83" s="606"/>
      <c r="AZ83" s="605">
        <f t="shared" si="68"/>
        <v>8386.2807718000822</v>
      </c>
      <c r="BA83" s="606"/>
      <c r="BB83" s="605">
        <f t="shared" si="69"/>
        <v>0</v>
      </c>
      <c r="BC83" s="606"/>
      <c r="BD83" s="606">
        <f t="shared" si="62"/>
        <v>8386.2807718000822</v>
      </c>
      <c r="BF83" s="712">
        <f t="shared" si="63"/>
        <v>11644.959720008334</v>
      </c>
      <c r="BH83" s="590">
        <f t="shared" si="66"/>
        <v>441</v>
      </c>
    </row>
    <row r="84" spans="1:60" ht="14.5">
      <c r="A84" s="590">
        <f t="shared" si="54"/>
        <v>442</v>
      </c>
      <c r="B84" s="622" t="s">
        <v>1833</v>
      </c>
      <c r="F84" s="715" t="s">
        <v>1766</v>
      </c>
      <c r="H84" s="723"/>
      <c r="J84" s="620">
        <v>928.07819827603748</v>
      </c>
      <c r="K84" s="606"/>
      <c r="L84" s="620">
        <v>556.76096732724022</v>
      </c>
      <c r="M84" s="606"/>
      <c r="N84" s="620">
        <v>371.31723094879726</v>
      </c>
      <c r="P84" s="713" t="s">
        <v>1762</v>
      </c>
      <c r="R84" s="606">
        <v>0</v>
      </c>
      <c r="S84" s="606"/>
      <c r="T84" s="606">
        <f t="shared" si="64"/>
        <v>371.31723094879726</v>
      </c>
      <c r="U84" s="606"/>
      <c r="V84" s="606">
        <v>0</v>
      </c>
      <c r="W84" s="606"/>
      <c r="X84" s="606">
        <f t="shared" si="65"/>
        <v>371.31723094879726</v>
      </c>
      <c r="Y84" s="606"/>
      <c r="Z84" s="607" t="s">
        <v>1560</v>
      </c>
      <c r="AA84" s="606"/>
      <c r="AB84" s="606">
        <v>0</v>
      </c>
      <c r="AC84" s="606"/>
      <c r="AD84" s="620">
        <v>131.38891099659901</v>
      </c>
      <c r="AE84" s="606"/>
      <c r="AF84" s="606">
        <v>0</v>
      </c>
      <c r="AG84" s="606"/>
      <c r="AH84" s="607" t="s">
        <v>1772</v>
      </c>
      <c r="AI84" s="606"/>
      <c r="AJ84" s="605">
        <f t="shared" si="55"/>
        <v>0</v>
      </c>
      <c r="AK84" s="606"/>
      <c r="AL84" s="605">
        <f t="shared" si="56"/>
        <v>239.92831995219825</v>
      </c>
      <c r="AM84" s="606"/>
      <c r="AN84" s="605">
        <f t="shared" si="57"/>
        <v>0</v>
      </c>
      <c r="AO84" s="606"/>
      <c r="AP84" s="606">
        <f t="shared" si="58"/>
        <v>239.92831995219825</v>
      </c>
      <c r="AR84" s="606">
        <v>0</v>
      </c>
      <c r="AS84" s="606"/>
      <c r="AT84" s="620">
        <v>37.967649469812315</v>
      </c>
      <c r="AU84" s="606"/>
      <c r="AV84" s="606">
        <v>0</v>
      </c>
      <c r="AW84" s="606"/>
      <c r="AX84" s="605">
        <f t="shared" si="67"/>
        <v>0</v>
      </c>
      <c r="AY84" s="606"/>
      <c r="AZ84" s="605">
        <f t="shared" si="68"/>
        <v>201.96067048238592</v>
      </c>
      <c r="BA84" s="606"/>
      <c r="BB84" s="605">
        <f t="shared" si="69"/>
        <v>0</v>
      </c>
      <c r="BC84" s="606"/>
      <c r="BD84" s="606">
        <f t="shared" si="62"/>
        <v>201.96067048238592</v>
      </c>
      <c r="BF84" s="712">
        <f t="shared" si="63"/>
        <v>280.43705389659289</v>
      </c>
      <c r="BH84" s="590">
        <f t="shared" si="66"/>
        <v>442</v>
      </c>
    </row>
    <row r="85" spans="1:60" ht="14.5">
      <c r="A85" s="590">
        <f t="shared" si="54"/>
        <v>443</v>
      </c>
      <c r="B85" s="622" t="s">
        <v>1834</v>
      </c>
      <c r="F85" s="715" t="s">
        <v>1766</v>
      </c>
      <c r="H85" s="723"/>
      <c r="J85" s="620">
        <v>19298495.997185547</v>
      </c>
      <c r="K85" s="606"/>
      <c r="L85" s="620">
        <v>11429050.618671767</v>
      </c>
      <c r="M85" s="606"/>
      <c r="N85" s="620">
        <v>7869445.3785137795</v>
      </c>
      <c r="P85" s="713" t="s">
        <v>1762</v>
      </c>
      <c r="R85" s="606">
        <v>0</v>
      </c>
      <c r="S85" s="606"/>
      <c r="T85" s="606">
        <f t="shared" si="64"/>
        <v>7869445.3785137795</v>
      </c>
      <c r="U85" s="606"/>
      <c r="V85" s="606">
        <v>0</v>
      </c>
      <c r="W85" s="606"/>
      <c r="X85" s="606">
        <f t="shared" si="65"/>
        <v>7869445.3785137795</v>
      </c>
      <c r="Y85" s="606"/>
      <c r="Z85" s="607" t="s">
        <v>1560</v>
      </c>
      <c r="AA85" s="606"/>
      <c r="AB85" s="606">
        <v>0</v>
      </c>
      <c r="AC85" s="606"/>
      <c r="AD85" s="620">
        <v>2784567.4055797374</v>
      </c>
      <c r="AE85" s="606"/>
      <c r="AF85" s="606">
        <v>0</v>
      </c>
      <c r="AG85" s="606"/>
      <c r="AH85" s="607" t="s">
        <v>1772</v>
      </c>
      <c r="AI85" s="606"/>
      <c r="AJ85" s="605">
        <f t="shared" si="55"/>
        <v>0</v>
      </c>
      <c r="AK85" s="606"/>
      <c r="AL85" s="605">
        <f t="shared" si="56"/>
        <v>5084877.9729340421</v>
      </c>
      <c r="AM85" s="606"/>
      <c r="AN85" s="605">
        <f t="shared" si="57"/>
        <v>0</v>
      </c>
      <c r="AO85" s="606"/>
      <c r="AP85" s="606">
        <f t="shared" si="58"/>
        <v>5084877.9729340421</v>
      </c>
      <c r="AR85" s="606">
        <v>0</v>
      </c>
      <c r="AS85" s="606"/>
      <c r="AT85" s="620">
        <v>804660.59409574384</v>
      </c>
      <c r="AU85" s="606"/>
      <c r="AV85" s="606">
        <v>0</v>
      </c>
      <c r="AW85" s="606"/>
      <c r="AX85" s="605">
        <f t="shared" si="67"/>
        <v>0</v>
      </c>
      <c r="AY85" s="606"/>
      <c r="AZ85" s="605">
        <f t="shared" si="68"/>
        <v>4280217.3788382979</v>
      </c>
      <c r="BA85" s="606"/>
      <c r="BB85" s="605">
        <f t="shared" si="69"/>
        <v>0</v>
      </c>
      <c r="BC85" s="606"/>
      <c r="BD85" s="606">
        <f t="shared" si="62"/>
        <v>4280217.3788382979</v>
      </c>
      <c r="BF85" s="712">
        <f t="shared" si="63"/>
        <v>5943392.5867417669</v>
      </c>
      <c r="BH85" s="590">
        <f t="shared" si="66"/>
        <v>443</v>
      </c>
    </row>
    <row r="86" spans="1:60" ht="14.5">
      <c r="A86" s="590">
        <f t="shared" si="54"/>
        <v>444</v>
      </c>
      <c r="B86" s="622" t="s">
        <v>1835</v>
      </c>
      <c r="F86" s="715" t="s">
        <v>1766</v>
      </c>
      <c r="H86" s="723"/>
      <c r="J86" s="620">
        <v>1257231.8788000001</v>
      </c>
      <c r="K86" s="606"/>
      <c r="L86" s="620">
        <v>755662.71551040001</v>
      </c>
      <c r="M86" s="606"/>
      <c r="N86" s="620">
        <v>501569.16328959999</v>
      </c>
      <c r="P86" s="713" t="s">
        <v>1762</v>
      </c>
      <c r="R86" s="606">
        <v>0</v>
      </c>
      <c r="S86" s="606"/>
      <c r="T86" s="606">
        <f t="shared" si="64"/>
        <v>501569.16328959999</v>
      </c>
      <c r="U86" s="606"/>
      <c r="V86" s="606">
        <v>0</v>
      </c>
      <c r="W86" s="606"/>
      <c r="X86" s="606">
        <f t="shared" si="65"/>
        <v>501569.16328959999</v>
      </c>
      <c r="Y86" s="606"/>
      <c r="Z86" s="607" t="s">
        <v>1560</v>
      </c>
      <c r="AA86" s="606"/>
      <c r="AB86" s="606">
        <v>0</v>
      </c>
      <c r="AC86" s="606"/>
      <c r="AD86" s="620">
        <v>177477.96401935155</v>
      </c>
      <c r="AE86" s="606"/>
      <c r="AF86" s="606">
        <v>0</v>
      </c>
      <c r="AG86" s="606"/>
      <c r="AH86" s="607" t="s">
        <v>1772</v>
      </c>
      <c r="AI86" s="606"/>
      <c r="AJ86" s="605">
        <f t="shared" si="55"/>
        <v>0</v>
      </c>
      <c r="AK86" s="606"/>
      <c r="AL86" s="605">
        <f t="shared" si="56"/>
        <v>324091.19927024841</v>
      </c>
      <c r="AM86" s="606"/>
      <c r="AN86" s="605">
        <f t="shared" si="57"/>
        <v>0</v>
      </c>
      <c r="AO86" s="606"/>
      <c r="AP86" s="606">
        <f t="shared" si="58"/>
        <v>324091.19927024841</v>
      </c>
      <c r="AR86" s="606">
        <v>0</v>
      </c>
      <c r="AS86" s="606"/>
      <c r="AT86" s="620">
        <v>51286.071825933068</v>
      </c>
      <c r="AU86" s="606"/>
      <c r="AV86" s="606">
        <v>0</v>
      </c>
      <c r="AW86" s="606"/>
      <c r="AX86" s="605">
        <f t="shared" si="67"/>
        <v>0</v>
      </c>
      <c r="AY86" s="606"/>
      <c r="AZ86" s="605">
        <f t="shared" si="68"/>
        <v>272805.12744431535</v>
      </c>
      <c r="BA86" s="606"/>
      <c r="BB86" s="605">
        <f t="shared" si="69"/>
        <v>0</v>
      </c>
      <c r="BC86" s="606"/>
      <c r="BD86" s="606">
        <f t="shared" si="62"/>
        <v>272805.12744431535</v>
      </c>
      <c r="BF86" s="712">
        <f t="shared" si="63"/>
        <v>378809.72590176034</v>
      </c>
      <c r="BH86" s="590">
        <f t="shared" si="66"/>
        <v>444</v>
      </c>
    </row>
    <row r="87" spans="1:60" ht="14.5">
      <c r="A87" s="590">
        <f t="shared" si="54"/>
        <v>445</v>
      </c>
      <c r="B87" s="622" t="s">
        <v>1836</v>
      </c>
      <c r="F87" s="715" t="s">
        <v>1766</v>
      </c>
      <c r="H87" s="723"/>
      <c r="J87" s="620">
        <v>1143941.5022</v>
      </c>
      <c r="K87" s="606"/>
      <c r="L87" s="620">
        <v>687601.58116902411</v>
      </c>
      <c r="M87" s="606"/>
      <c r="N87" s="620">
        <v>456339.92103097605</v>
      </c>
      <c r="P87" s="713" t="s">
        <v>1762</v>
      </c>
      <c r="R87" s="606">
        <v>0</v>
      </c>
      <c r="S87" s="606"/>
      <c r="T87" s="606">
        <f t="shared" si="64"/>
        <v>456339.92103097605</v>
      </c>
      <c r="U87" s="606"/>
      <c r="V87" s="606">
        <v>0</v>
      </c>
      <c r="W87" s="606"/>
      <c r="X87" s="606">
        <f t="shared" si="65"/>
        <v>456339.92103097605</v>
      </c>
      <c r="Y87" s="606"/>
      <c r="Z87" s="607" t="s">
        <v>1560</v>
      </c>
      <c r="AA87" s="606"/>
      <c r="AB87" s="606">
        <v>0</v>
      </c>
      <c r="AC87" s="606"/>
      <c r="AD87" s="620">
        <v>161473.80264397649</v>
      </c>
      <c r="AE87" s="606"/>
      <c r="AF87" s="606">
        <v>0</v>
      </c>
      <c r="AG87" s="606"/>
      <c r="AH87" s="607" t="s">
        <v>1772</v>
      </c>
      <c r="AI87" s="606"/>
      <c r="AJ87" s="605">
        <f t="shared" si="55"/>
        <v>0</v>
      </c>
      <c r="AK87" s="606"/>
      <c r="AL87" s="605">
        <f t="shared" si="56"/>
        <v>294866.11838699959</v>
      </c>
      <c r="AM87" s="606"/>
      <c r="AN87" s="605">
        <f t="shared" si="57"/>
        <v>0</v>
      </c>
      <c r="AO87" s="606"/>
      <c r="AP87" s="606">
        <f t="shared" si="58"/>
        <v>294866.11838699959</v>
      </c>
      <c r="AR87" s="606">
        <v>0</v>
      </c>
      <c r="AS87" s="606"/>
      <c r="AT87" s="620">
        <v>46661.325456170729</v>
      </c>
      <c r="AU87" s="606"/>
      <c r="AV87" s="606">
        <v>0</v>
      </c>
      <c r="AW87" s="606"/>
      <c r="AX87" s="605">
        <f t="shared" si="67"/>
        <v>0</v>
      </c>
      <c r="AY87" s="606"/>
      <c r="AZ87" s="605">
        <f t="shared" si="68"/>
        <v>248204.79293082887</v>
      </c>
      <c r="BA87" s="606"/>
      <c r="BB87" s="605">
        <f t="shared" si="69"/>
        <v>0</v>
      </c>
      <c r="BC87" s="606"/>
      <c r="BD87" s="606">
        <f t="shared" si="62"/>
        <v>248204.79293082887</v>
      </c>
      <c r="BF87" s="712">
        <f t="shared" si="63"/>
        <v>344650.37537398265</v>
      </c>
      <c r="BH87" s="590">
        <f t="shared" si="66"/>
        <v>445</v>
      </c>
    </row>
    <row r="88" spans="1:60" ht="14.5">
      <c r="A88" s="590">
        <f t="shared" si="54"/>
        <v>446</v>
      </c>
      <c r="B88" s="622" t="s">
        <v>1837</v>
      </c>
      <c r="F88" s="715" t="s">
        <v>1766</v>
      </c>
      <c r="H88" s="723"/>
      <c r="J88" s="620">
        <v>-474400.43319827609</v>
      </c>
      <c r="K88" s="606"/>
      <c r="L88" s="620">
        <v>-284579.21883587126</v>
      </c>
      <c r="M88" s="606"/>
      <c r="N88" s="620">
        <v>-189821.21436240477</v>
      </c>
      <c r="P88" s="713" t="s">
        <v>1762</v>
      </c>
      <c r="R88" s="606">
        <v>0</v>
      </c>
      <c r="S88" s="606"/>
      <c r="T88" s="606">
        <f t="shared" si="64"/>
        <v>-189821.21436240477</v>
      </c>
      <c r="U88" s="606"/>
      <c r="V88" s="606">
        <v>0</v>
      </c>
      <c r="W88" s="606"/>
      <c r="X88" s="606">
        <f t="shared" si="65"/>
        <v>-189821.21436240477</v>
      </c>
      <c r="Y88" s="606"/>
      <c r="Z88" s="607" t="s">
        <v>1560</v>
      </c>
      <c r="AA88" s="606"/>
      <c r="AB88" s="606">
        <v>0</v>
      </c>
      <c r="AC88" s="606"/>
      <c r="AD88" s="620">
        <v>-67167.372156148325</v>
      </c>
      <c r="AE88" s="606"/>
      <c r="AF88" s="606">
        <v>0</v>
      </c>
      <c r="AG88" s="606"/>
      <c r="AH88" s="607" t="s">
        <v>1772</v>
      </c>
      <c r="AI88" s="606"/>
      <c r="AJ88" s="605">
        <f t="shared" si="55"/>
        <v>0</v>
      </c>
      <c r="AK88" s="606"/>
      <c r="AL88" s="605">
        <f t="shared" si="56"/>
        <v>-122653.84220625645</v>
      </c>
      <c r="AM88" s="606"/>
      <c r="AN88" s="605">
        <f t="shared" si="57"/>
        <v>0</v>
      </c>
      <c r="AO88" s="606"/>
      <c r="AP88" s="606">
        <f t="shared" si="58"/>
        <v>-122653.84220625645</v>
      </c>
      <c r="AR88" s="606">
        <v>0</v>
      </c>
      <c r="AS88" s="606"/>
      <c r="AT88" s="620">
        <v>-19409.455657175542</v>
      </c>
      <c r="AU88" s="606"/>
      <c r="AV88" s="606">
        <v>0</v>
      </c>
      <c r="AW88" s="606"/>
      <c r="AX88" s="605">
        <f t="shared" si="67"/>
        <v>0</v>
      </c>
      <c r="AY88" s="606"/>
      <c r="AZ88" s="605">
        <f t="shared" si="68"/>
        <v>-103244.38654908091</v>
      </c>
      <c r="BA88" s="606"/>
      <c r="BB88" s="605">
        <f t="shared" si="69"/>
        <v>0</v>
      </c>
      <c r="BC88" s="606"/>
      <c r="BD88" s="606">
        <f t="shared" si="62"/>
        <v>-103244.38654908091</v>
      </c>
      <c r="BF88" s="712">
        <f t="shared" si="63"/>
        <v>-143362.32656600565</v>
      </c>
      <c r="BH88" s="590">
        <f t="shared" si="66"/>
        <v>446</v>
      </c>
    </row>
    <row r="89" spans="1:60" ht="14.5">
      <c r="A89" s="590">
        <f t="shared" si="54"/>
        <v>447</v>
      </c>
      <c r="B89" s="622" t="s">
        <v>1838</v>
      </c>
      <c r="F89" s="715" t="s">
        <v>1766</v>
      </c>
      <c r="H89" s="723"/>
      <c r="J89" s="620">
        <v>4916762.5998</v>
      </c>
      <c r="K89" s="606"/>
      <c r="L89" s="620">
        <v>2949422.0079276799</v>
      </c>
      <c r="M89" s="606"/>
      <c r="N89" s="620">
        <v>1967340.59187232</v>
      </c>
      <c r="P89" s="713" t="s">
        <v>1762</v>
      </c>
      <c r="R89" s="606">
        <v>0</v>
      </c>
      <c r="S89" s="606"/>
      <c r="T89" s="606">
        <f t="shared" si="64"/>
        <v>1967340.59187232</v>
      </c>
      <c r="U89" s="606"/>
      <c r="V89" s="606">
        <v>0</v>
      </c>
      <c r="W89" s="606"/>
      <c r="X89" s="606">
        <f t="shared" si="65"/>
        <v>1967340.59187232</v>
      </c>
      <c r="Y89" s="606"/>
      <c r="Z89" s="607" t="s">
        <v>1560</v>
      </c>
      <c r="AA89" s="606"/>
      <c r="AB89" s="606">
        <v>0</v>
      </c>
      <c r="AC89" s="606"/>
      <c r="AD89" s="620">
        <v>696134.50812669843</v>
      </c>
      <c r="AE89" s="606"/>
      <c r="AF89" s="606">
        <v>0</v>
      </c>
      <c r="AG89" s="606"/>
      <c r="AH89" s="607" t="s">
        <v>1772</v>
      </c>
      <c r="AI89" s="606"/>
      <c r="AJ89" s="605">
        <f t="shared" si="55"/>
        <v>0</v>
      </c>
      <c r="AK89" s="606"/>
      <c r="AL89" s="605">
        <f t="shared" si="56"/>
        <v>1271206.0837456216</v>
      </c>
      <c r="AM89" s="606"/>
      <c r="AN89" s="605">
        <f t="shared" si="57"/>
        <v>0</v>
      </c>
      <c r="AO89" s="606"/>
      <c r="AP89" s="606">
        <f t="shared" si="58"/>
        <v>1271206.0837456216</v>
      </c>
      <c r="AR89" s="606">
        <v>0</v>
      </c>
      <c r="AS89" s="606"/>
      <c r="AT89" s="620">
        <v>201163.02652876743</v>
      </c>
      <c r="AU89" s="606"/>
      <c r="AV89" s="606">
        <v>0</v>
      </c>
      <c r="AW89" s="606"/>
      <c r="AX89" s="605">
        <f t="shared" si="67"/>
        <v>0</v>
      </c>
      <c r="AY89" s="606"/>
      <c r="AZ89" s="605">
        <f t="shared" si="68"/>
        <v>1070043.0572168543</v>
      </c>
      <c r="BA89" s="606"/>
      <c r="BB89" s="605">
        <f t="shared" si="69"/>
        <v>0</v>
      </c>
      <c r="BC89" s="606"/>
      <c r="BD89" s="606">
        <f t="shared" si="62"/>
        <v>1070043.0572168543</v>
      </c>
      <c r="BF89" s="712">
        <f t="shared" si="63"/>
        <v>1485832.473182295</v>
      </c>
      <c r="BH89" s="590">
        <f t="shared" si="66"/>
        <v>447</v>
      </c>
    </row>
    <row r="90" spans="1:60" ht="14.5">
      <c r="A90" s="590">
        <f t="shared" si="54"/>
        <v>448</v>
      </c>
      <c r="B90" s="622" t="s">
        <v>1839</v>
      </c>
      <c r="F90" s="715" t="s">
        <v>1766</v>
      </c>
      <c r="H90" s="723"/>
      <c r="J90" s="620">
        <v>290428.08638158668</v>
      </c>
      <c r="K90" s="606"/>
      <c r="L90" s="620">
        <v>174353.84748372421</v>
      </c>
      <c r="M90" s="606"/>
      <c r="N90" s="620">
        <v>116074.23889786248</v>
      </c>
      <c r="P90" s="713" t="s">
        <v>1762</v>
      </c>
      <c r="R90" s="606">
        <v>0</v>
      </c>
      <c r="S90" s="606"/>
      <c r="T90" s="606">
        <f t="shared" si="64"/>
        <v>116074.23889786248</v>
      </c>
      <c r="U90" s="606"/>
      <c r="V90" s="606">
        <v>0</v>
      </c>
      <c r="W90" s="606"/>
      <c r="X90" s="606">
        <f t="shared" si="65"/>
        <v>116074.23889786248</v>
      </c>
      <c r="Y90" s="606"/>
      <c r="Z90" s="607" t="s">
        <v>1560</v>
      </c>
      <c r="AA90" s="606"/>
      <c r="AB90" s="606">
        <v>0</v>
      </c>
      <c r="AC90" s="606"/>
      <c r="AD90" s="620">
        <v>41072.340770666364</v>
      </c>
      <c r="AE90" s="606"/>
      <c r="AF90" s="606">
        <v>0</v>
      </c>
      <c r="AG90" s="606"/>
      <c r="AH90" s="607" t="s">
        <v>1772</v>
      </c>
      <c r="AI90" s="606"/>
      <c r="AJ90" s="605">
        <f t="shared" si="55"/>
        <v>0</v>
      </c>
      <c r="AK90" s="606"/>
      <c r="AL90" s="605">
        <f t="shared" si="56"/>
        <v>75001.898127196124</v>
      </c>
      <c r="AM90" s="606"/>
      <c r="AN90" s="605">
        <f t="shared" si="57"/>
        <v>0</v>
      </c>
      <c r="AO90" s="606"/>
      <c r="AP90" s="606">
        <f t="shared" si="58"/>
        <v>75001.898127196124</v>
      </c>
      <c r="AR90" s="606">
        <v>0</v>
      </c>
      <c r="AS90" s="606"/>
      <c r="AT90" s="620">
        <v>11868.735538311199</v>
      </c>
      <c r="AU90" s="606"/>
      <c r="AV90" s="606">
        <v>0</v>
      </c>
      <c r="AW90" s="606"/>
      <c r="AX90" s="605">
        <f t="shared" si="67"/>
        <v>0</v>
      </c>
      <c r="AY90" s="606"/>
      <c r="AZ90" s="605">
        <f t="shared" si="68"/>
        <v>63133.162588884923</v>
      </c>
      <c r="BA90" s="606"/>
      <c r="BB90" s="605">
        <f t="shared" si="69"/>
        <v>0</v>
      </c>
      <c r="BC90" s="606"/>
      <c r="BD90" s="606">
        <f t="shared" si="62"/>
        <v>63133.162588884923</v>
      </c>
      <c r="BF90" s="712">
        <f t="shared" si="63"/>
        <v>87664.97990580606</v>
      </c>
      <c r="BH90" s="590">
        <f t="shared" si="66"/>
        <v>448</v>
      </c>
    </row>
    <row r="91" spans="1:60" ht="14.5">
      <c r="A91" s="590">
        <f t="shared" si="54"/>
        <v>449</v>
      </c>
      <c r="B91" s="622" t="s">
        <v>1840</v>
      </c>
      <c r="F91" s="715" t="s">
        <v>1766</v>
      </c>
      <c r="H91" s="723"/>
      <c r="J91" s="620">
        <v>114943.94202037899</v>
      </c>
      <c r="K91" s="606"/>
      <c r="L91" s="620">
        <v>68951.470341309556</v>
      </c>
      <c r="M91" s="606"/>
      <c r="N91" s="620">
        <v>45992.471679069444</v>
      </c>
      <c r="P91" s="713" t="s">
        <v>1762</v>
      </c>
      <c r="R91" s="606">
        <v>0</v>
      </c>
      <c r="S91" s="606"/>
      <c r="T91" s="606">
        <f t="shared" si="64"/>
        <v>45992.471679069444</v>
      </c>
      <c r="U91" s="606"/>
      <c r="V91" s="606">
        <v>0</v>
      </c>
      <c r="W91" s="606"/>
      <c r="X91" s="606">
        <f t="shared" si="65"/>
        <v>45992.471679069444</v>
      </c>
      <c r="Y91" s="606"/>
      <c r="Z91" s="607" t="s">
        <v>1560</v>
      </c>
      <c r="AA91" s="606"/>
      <c r="AB91" s="606">
        <v>0</v>
      </c>
      <c r="AC91" s="606"/>
      <c r="AD91" s="620">
        <v>16274.226629650107</v>
      </c>
      <c r="AE91" s="606"/>
      <c r="AF91" s="606">
        <v>0</v>
      </c>
      <c r="AG91" s="606"/>
      <c r="AH91" s="607" t="s">
        <v>1772</v>
      </c>
      <c r="AI91" s="606"/>
      <c r="AJ91" s="605">
        <f t="shared" si="55"/>
        <v>0</v>
      </c>
      <c r="AK91" s="606"/>
      <c r="AL91" s="605">
        <f t="shared" si="56"/>
        <v>29718.245049419336</v>
      </c>
      <c r="AM91" s="606"/>
      <c r="AN91" s="605">
        <f t="shared" si="57"/>
        <v>0</v>
      </c>
      <c r="AO91" s="606"/>
      <c r="AP91" s="606">
        <f t="shared" si="58"/>
        <v>29718.245049419336</v>
      </c>
      <c r="AR91" s="606">
        <v>0</v>
      </c>
      <c r="AS91" s="606"/>
      <c r="AT91" s="620">
        <v>4702.7875288717078</v>
      </c>
      <c r="AU91" s="606"/>
      <c r="AV91" s="606">
        <v>0</v>
      </c>
      <c r="AW91" s="606"/>
      <c r="AX91" s="605">
        <f t="shared" si="67"/>
        <v>0</v>
      </c>
      <c r="AY91" s="606"/>
      <c r="AZ91" s="605">
        <f t="shared" si="68"/>
        <v>25015.457520547629</v>
      </c>
      <c r="BA91" s="606"/>
      <c r="BB91" s="605">
        <f t="shared" si="69"/>
        <v>0</v>
      </c>
      <c r="BC91" s="606"/>
      <c r="BD91" s="606">
        <f t="shared" si="62"/>
        <v>25015.457520547629</v>
      </c>
      <c r="BF91" s="712">
        <f t="shared" si="63"/>
        <v>34735.778962219199</v>
      </c>
      <c r="BH91" s="590">
        <f t="shared" si="66"/>
        <v>449</v>
      </c>
    </row>
    <row r="92" spans="1:60" ht="14.5">
      <c r="A92" s="590">
        <f t="shared" si="54"/>
        <v>450</v>
      </c>
      <c r="B92" s="622" t="s">
        <v>1841</v>
      </c>
      <c r="F92" s="715" t="s">
        <v>1766</v>
      </c>
      <c r="H92" s="723"/>
      <c r="J92" s="620">
        <v>831141.34682690329</v>
      </c>
      <c r="K92" s="606"/>
      <c r="L92" s="620">
        <v>498577.39556428313</v>
      </c>
      <c r="M92" s="606"/>
      <c r="N92" s="620">
        <v>332563.9512626201</v>
      </c>
      <c r="P92" s="713" t="s">
        <v>1762</v>
      </c>
      <c r="R92" s="606">
        <v>0</v>
      </c>
      <c r="S92" s="606"/>
      <c r="T92" s="606">
        <f t="shared" si="64"/>
        <v>332563.9512626201</v>
      </c>
      <c r="U92" s="606"/>
      <c r="V92" s="606">
        <v>0</v>
      </c>
      <c r="W92" s="606"/>
      <c r="X92" s="606">
        <f t="shared" si="65"/>
        <v>332563.9512626201</v>
      </c>
      <c r="Y92" s="606"/>
      <c r="Z92" s="607" t="s">
        <v>1560</v>
      </c>
      <c r="AA92" s="606"/>
      <c r="AB92" s="606">
        <v>0</v>
      </c>
      <c r="AC92" s="606"/>
      <c r="AD92" s="620">
        <v>117676.23948253301</v>
      </c>
      <c r="AE92" s="606"/>
      <c r="AF92" s="606">
        <v>0</v>
      </c>
      <c r="AG92" s="606"/>
      <c r="AH92" s="607" t="s">
        <v>1772</v>
      </c>
      <c r="AI92" s="606"/>
      <c r="AJ92" s="605">
        <f t="shared" si="55"/>
        <v>0</v>
      </c>
      <c r="AK92" s="606"/>
      <c r="AL92" s="605">
        <f t="shared" si="56"/>
        <v>214887.71178008709</v>
      </c>
      <c r="AM92" s="606"/>
      <c r="AN92" s="605">
        <f t="shared" si="57"/>
        <v>0</v>
      </c>
      <c r="AO92" s="606"/>
      <c r="AP92" s="606">
        <f t="shared" si="58"/>
        <v>214887.71178008709</v>
      </c>
      <c r="AR92" s="606">
        <v>0</v>
      </c>
      <c r="AS92" s="606"/>
      <c r="AT92" s="620">
        <v>34005.078341155844</v>
      </c>
      <c r="AU92" s="606"/>
      <c r="AV92" s="606">
        <v>0</v>
      </c>
      <c r="AW92" s="606"/>
      <c r="AX92" s="605">
        <f t="shared" si="67"/>
        <v>0</v>
      </c>
      <c r="AY92" s="606"/>
      <c r="AZ92" s="605">
        <f t="shared" si="68"/>
        <v>180882.63343893125</v>
      </c>
      <c r="BA92" s="606"/>
      <c r="BB92" s="605">
        <f t="shared" si="69"/>
        <v>0</v>
      </c>
      <c r="BC92" s="606"/>
      <c r="BD92" s="606">
        <f t="shared" si="62"/>
        <v>180882.63343893125</v>
      </c>
      <c r="BF92" s="712">
        <f t="shared" si="63"/>
        <v>251168.66913499043</v>
      </c>
      <c r="BH92" s="590">
        <f t="shared" si="66"/>
        <v>450</v>
      </c>
    </row>
    <row r="93" spans="1:60" ht="14.5">
      <c r="A93" s="590">
        <f t="shared" si="54"/>
        <v>451</v>
      </c>
      <c r="B93" s="622" t="s">
        <v>1842</v>
      </c>
      <c r="F93" s="715" t="s">
        <v>1766</v>
      </c>
      <c r="H93" s="723"/>
      <c r="J93" s="620">
        <v>8456.3577108052286</v>
      </c>
      <c r="K93" s="606"/>
      <c r="L93" s="620">
        <v>5072.7008124667409</v>
      </c>
      <c r="M93" s="606"/>
      <c r="N93" s="620">
        <v>3383.6568983384873</v>
      </c>
      <c r="P93" s="713" t="s">
        <v>1762</v>
      </c>
      <c r="R93" s="606">
        <v>0</v>
      </c>
      <c r="S93" s="606"/>
      <c r="T93" s="606">
        <f t="shared" si="64"/>
        <v>3383.6568983384873</v>
      </c>
      <c r="U93" s="606"/>
      <c r="V93" s="606">
        <v>0</v>
      </c>
      <c r="W93" s="606"/>
      <c r="X93" s="606">
        <f t="shared" si="65"/>
        <v>3383.6568983384873</v>
      </c>
      <c r="Y93" s="606"/>
      <c r="Z93" s="607" t="s">
        <v>1560</v>
      </c>
      <c r="AA93" s="606"/>
      <c r="AB93" s="606">
        <v>0</v>
      </c>
      <c r="AC93" s="606"/>
      <c r="AD93" s="620">
        <v>1197.2915825178293</v>
      </c>
      <c r="AE93" s="606"/>
      <c r="AF93" s="606">
        <v>0</v>
      </c>
      <c r="AG93" s="606"/>
      <c r="AH93" s="607" t="s">
        <v>1772</v>
      </c>
      <c r="AI93" s="606"/>
      <c r="AJ93" s="605">
        <f t="shared" si="55"/>
        <v>0</v>
      </c>
      <c r="AK93" s="606"/>
      <c r="AL93" s="605">
        <f t="shared" si="56"/>
        <v>2186.365315820658</v>
      </c>
      <c r="AM93" s="606"/>
      <c r="AN93" s="605">
        <f t="shared" si="57"/>
        <v>0</v>
      </c>
      <c r="AO93" s="606"/>
      <c r="AP93" s="606">
        <f t="shared" si="58"/>
        <v>2186.365315820658</v>
      </c>
      <c r="AR93" s="606">
        <v>0</v>
      </c>
      <c r="AS93" s="606"/>
      <c r="AT93" s="620">
        <v>345.98313338155697</v>
      </c>
      <c r="AU93" s="606"/>
      <c r="AV93" s="606">
        <v>0</v>
      </c>
      <c r="AW93" s="606"/>
      <c r="AX93" s="605">
        <f t="shared" si="67"/>
        <v>0</v>
      </c>
      <c r="AY93" s="606"/>
      <c r="AZ93" s="605">
        <f t="shared" si="68"/>
        <v>1840.3821824391011</v>
      </c>
      <c r="BA93" s="606"/>
      <c r="BB93" s="605">
        <f t="shared" si="69"/>
        <v>0</v>
      </c>
      <c r="BC93" s="606"/>
      <c r="BD93" s="606">
        <f t="shared" si="62"/>
        <v>1840.3821824391011</v>
      </c>
      <c r="BF93" s="712">
        <f t="shared" si="63"/>
        <v>2555.5042774133403</v>
      </c>
      <c r="BH93" s="590">
        <f t="shared" si="66"/>
        <v>451</v>
      </c>
    </row>
    <row r="94" spans="1:60" ht="14.5">
      <c r="A94" s="590">
        <f t="shared" si="54"/>
        <v>452</v>
      </c>
      <c r="B94" s="622" t="s">
        <v>1843</v>
      </c>
      <c r="F94" s="715" t="s">
        <v>1766</v>
      </c>
      <c r="H94" s="723"/>
      <c r="J94" s="620">
        <v>-244.71339996627793</v>
      </c>
      <c r="K94" s="606"/>
      <c r="L94" s="620">
        <v>-146.77328667097626</v>
      </c>
      <c r="M94" s="606"/>
      <c r="N94" s="620">
        <v>-97.940113295301657</v>
      </c>
      <c r="P94" s="713" t="s">
        <v>1762</v>
      </c>
      <c r="R94" s="606">
        <v>0</v>
      </c>
      <c r="S94" s="606"/>
      <c r="T94" s="606">
        <f t="shared" si="64"/>
        <v>-97.940113295301657</v>
      </c>
      <c r="U94" s="606"/>
      <c r="V94" s="606">
        <v>0</v>
      </c>
      <c r="W94" s="606"/>
      <c r="X94" s="606">
        <f t="shared" si="65"/>
        <v>-97.940113295301657</v>
      </c>
      <c r="Y94" s="606"/>
      <c r="Z94" s="607" t="s">
        <v>1560</v>
      </c>
      <c r="AA94" s="606"/>
      <c r="AB94" s="606">
        <v>0</v>
      </c>
      <c r="AC94" s="606"/>
      <c r="AD94" s="620">
        <v>-34.655663018578522</v>
      </c>
      <c r="AE94" s="606"/>
      <c r="AF94" s="606">
        <v>0</v>
      </c>
      <c r="AG94" s="606"/>
      <c r="AH94" s="607" t="s">
        <v>1772</v>
      </c>
      <c r="AI94" s="606"/>
      <c r="AJ94" s="605">
        <f t="shared" si="55"/>
        <v>0</v>
      </c>
      <c r="AK94" s="606"/>
      <c r="AL94" s="605">
        <f t="shared" si="56"/>
        <v>-63.284450276723135</v>
      </c>
      <c r="AM94" s="606"/>
      <c r="AN94" s="605">
        <f t="shared" si="57"/>
        <v>0</v>
      </c>
      <c r="AO94" s="606"/>
      <c r="AP94" s="606">
        <f t="shared" si="58"/>
        <v>-63.284450276723135</v>
      </c>
      <c r="AR94" s="606">
        <v>0</v>
      </c>
      <c r="AS94" s="606"/>
      <c r="AT94" s="620">
        <v>-10.014498603062375</v>
      </c>
      <c r="AU94" s="606"/>
      <c r="AV94" s="606">
        <v>0</v>
      </c>
      <c r="AW94" s="606"/>
      <c r="AX94" s="605">
        <f t="shared" si="67"/>
        <v>0</v>
      </c>
      <c r="AY94" s="606"/>
      <c r="AZ94" s="605">
        <f t="shared" si="68"/>
        <v>-53.269951673660756</v>
      </c>
      <c r="BA94" s="606"/>
      <c r="BB94" s="605">
        <f t="shared" si="69"/>
        <v>0</v>
      </c>
      <c r="BC94" s="606"/>
      <c r="BD94" s="606">
        <f t="shared" si="62"/>
        <v>-53.269951673660756</v>
      </c>
      <c r="BF94" s="712">
        <f t="shared" si="63"/>
        <v>-73.969195452231375</v>
      </c>
      <c r="BH94" s="590">
        <f t="shared" si="66"/>
        <v>452</v>
      </c>
    </row>
    <row r="95" spans="1:60" ht="14.5">
      <c r="A95" s="590">
        <f t="shared" si="54"/>
        <v>453</v>
      </c>
      <c r="B95" s="622" t="s">
        <v>1844</v>
      </c>
      <c r="F95" s="715" t="s">
        <v>1766</v>
      </c>
      <c r="H95" s="723"/>
      <c r="J95" s="620">
        <v>82964.600265615823</v>
      </c>
      <c r="K95" s="606"/>
      <c r="L95" s="620">
        <v>49768.042533099309</v>
      </c>
      <c r="M95" s="606"/>
      <c r="N95" s="620">
        <v>33196.557732516521</v>
      </c>
      <c r="P95" s="713" t="s">
        <v>1762</v>
      </c>
      <c r="R95" s="606">
        <v>0</v>
      </c>
      <c r="S95" s="606"/>
      <c r="T95" s="606">
        <f t="shared" si="64"/>
        <v>33196.557732516521</v>
      </c>
      <c r="U95" s="606"/>
      <c r="V95" s="606">
        <v>0</v>
      </c>
      <c r="W95" s="606"/>
      <c r="X95" s="606">
        <f t="shared" si="65"/>
        <v>33196.557732516521</v>
      </c>
      <c r="Y95" s="606"/>
      <c r="Z95" s="607" t="s">
        <v>1560</v>
      </c>
      <c r="AA95" s="606"/>
      <c r="AB95" s="606">
        <v>0</v>
      </c>
      <c r="AC95" s="606"/>
      <c r="AD95" s="620">
        <v>11746.45075900753</v>
      </c>
      <c r="AE95" s="606"/>
      <c r="AF95" s="606">
        <v>0</v>
      </c>
      <c r="AG95" s="606"/>
      <c r="AH95" s="607" t="s">
        <v>1772</v>
      </c>
      <c r="AI95" s="606"/>
      <c r="AJ95" s="605">
        <f t="shared" si="55"/>
        <v>0</v>
      </c>
      <c r="AK95" s="606"/>
      <c r="AL95" s="605">
        <f t="shared" si="56"/>
        <v>21450.106973508991</v>
      </c>
      <c r="AM95" s="606"/>
      <c r="AN95" s="605">
        <f t="shared" si="57"/>
        <v>0</v>
      </c>
      <c r="AO95" s="606"/>
      <c r="AP95" s="606">
        <f t="shared" si="58"/>
        <v>21450.106973508991</v>
      </c>
      <c r="AR95" s="606">
        <v>0</v>
      </c>
      <c r="AS95" s="606"/>
      <c r="AT95" s="620">
        <v>3394.3893860567359</v>
      </c>
      <c r="AU95" s="606"/>
      <c r="AV95" s="606">
        <v>0</v>
      </c>
      <c r="AW95" s="606"/>
      <c r="AX95" s="605">
        <f t="shared" si="67"/>
        <v>0</v>
      </c>
      <c r="AY95" s="606"/>
      <c r="AZ95" s="605">
        <f t="shared" si="68"/>
        <v>18055.717587452255</v>
      </c>
      <c r="BA95" s="606"/>
      <c r="BB95" s="605">
        <f t="shared" si="69"/>
        <v>0</v>
      </c>
      <c r="BC95" s="606"/>
      <c r="BD95" s="606">
        <f t="shared" si="62"/>
        <v>18055.717587452255</v>
      </c>
      <c r="BF95" s="712">
        <f t="shared" si="63"/>
        <v>25071.674767764362</v>
      </c>
      <c r="BH95" s="590">
        <f t="shared" si="66"/>
        <v>453</v>
      </c>
    </row>
    <row r="96" spans="1:60" ht="14.5">
      <c r="A96" s="590">
        <f t="shared" si="54"/>
        <v>454</v>
      </c>
      <c r="B96" s="622" t="s">
        <v>1845</v>
      </c>
      <c r="F96" s="715" t="s">
        <v>1766</v>
      </c>
      <c r="H96" s="723"/>
      <c r="J96" s="620">
        <v>-2.5537923876161601</v>
      </c>
      <c r="K96" s="606"/>
      <c r="L96" s="620">
        <v>-1.5613586211721953</v>
      </c>
      <c r="M96" s="606"/>
      <c r="N96" s="620">
        <v>-0.99243376644396486</v>
      </c>
      <c r="P96" s="713" t="s">
        <v>1762</v>
      </c>
      <c r="R96" s="606">
        <v>0</v>
      </c>
      <c r="S96" s="606"/>
      <c r="T96" s="606">
        <f t="shared" si="64"/>
        <v>-0.99243376644396486</v>
      </c>
      <c r="U96" s="606"/>
      <c r="V96" s="606">
        <v>0</v>
      </c>
      <c r="W96" s="606"/>
      <c r="X96" s="606">
        <f t="shared" si="65"/>
        <v>-0.99243376644396486</v>
      </c>
      <c r="Y96" s="606"/>
      <c r="Z96" s="607" t="s">
        <v>1560</v>
      </c>
      <c r="AA96" s="606"/>
      <c r="AB96" s="606">
        <v>0</v>
      </c>
      <c r="AC96" s="606"/>
      <c r="AD96" s="620">
        <v>-0.35116816818906638</v>
      </c>
      <c r="AE96" s="606"/>
      <c r="AF96" s="606">
        <v>0</v>
      </c>
      <c r="AG96" s="606"/>
      <c r="AH96" s="607" t="s">
        <v>1772</v>
      </c>
      <c r="AI96" s="606"/>
      <c r="AJ96" s="605">
        <f t="shared" si="55"/>
        <v>0</v>
      </c>
      <c r="AK96" s="606"/>
      <c r="AL96" s="605">
        <f t="shared" si="56"/>
        <v>-0.64126559825489848</v>
      </c>
      <c r="AM96" s="606"/>
      <c r="AN96" s="605">
        <f t="shared" si="57"/>
        <v>0</v>
      </c>
      <c r="AO96" s="606"/>
      <c r="AP96" s="606">
        <f t="shared" si="58"/>
        <v>-0.64126559825489848</v>
      </c>
      <c r="AR96" s="606">
        <v>0</v>
      </c>
      <c r="AS96" s="606"/>
      <c r="AT96" s="620">
        <v>-0.10147758904177</v>
      </c>
      <c r="AU96" s="606"/>
      <c r="AV96" s="606">
        <v>0</v>
      </c>
      <c r="AW96" s="606"/>
      <c r="AX96" s="605">
        <f t="shared" si="67"/>
        <v>0</v>
      </c>
      <c r="AY96" s="606"/>
      <c r="AZ96" s="605">
        <f t="shared" si="68"/>
        <v>-0.53978800921312853</v>
      </c>
      <c r="BA96" s="606"/>
      <c r="BB96" s="605">
        <f t="shared" si="69"/>
        <v>0</v>
      </c>
      <c r="BC96" s="606"/>
      <c r="BD96" s="606">
        <f t="shared" si="62"/>
        <v>-0.53978800921312853</v>
      </c>
      <c r="BF96" s="712">
        <f t="shared" si="63"/>
        <v>-0.74953484097112388</v>
      </c>
      <c r="BH96" s="590">
        <f t="shared" si="66"/>
        <v>454</v>
      </c>
    </row>
    <row r="97" spans="1:60" ht="14.5">
      <c r="A97" s="590">
        <f t="shared" si="54"/>
        <v>455</v>
      </c>
      <c r="B97" s="622" t="s">
        <v>1846</v>
      </c>
      <c r="F97" s="715" t="s">
        <v>1766</v>
      </c>
      <c r="H97" s="723"/>
      <c r="J97" s="620">
        <v>50.62517850744976</v>
      </c>
      <c r="K97" s="606"/>
      <c r="L97" s="620">
        <v>30.560806869050776</v>
      </c>
      <c r="M97" s="606"/>
      <c r="N97" s="620">
        <v>20.064371638398988</v>
      </c>
      <c r="P97" s="713" t="s">
        <v>1762</v>
      </c>
      <c r="R97" s="606">
        <v>0</v>
      </c>
      <c r="S97" s="606"/>
      <c r="T97" s="606">
        <f t="shared" ref="T97" si="70">N97</f>
        <v>20.064371638398988</v>
      </c>
      <c r="U97" s="606"/>
      <c r="V97" s="606">
        <v>0</v>
      </c>
      <c r="W97" s="606"/>
      <c r="X97" s="606">
        <f t="shared" ref="X97" si="71">SUM(R97:V97)</f>
        <v>20.064371638398988</v>
      </c>
      <c r="Y97" s="606"/>
      <c r="Z97" s="607" t="s">
        <v>1560</v>
      </c>
      <c r="AA97" s="606"/>
      <c r="AB97" s="606">
        <v>0</v>
      </c>
      <c r="AC97" s="606"/>
      <c r="AD97" s="620">
        <v>7.0996865205100423</v>
      </c>
      <c r="AE97" s="606"/>
      <c r="AF97" s="606">
        <v>0</v>
      </c>
      <c r="AG97" s="606"/>
      <c r="AH97" s="607" t="s">
        <v>1772</v>
      </c>
      <c r="AI97" s="606"/>
      <c r="AJ97" s="605">
        <f t="shared" si="55"/>
        <v>0</v>
      </c>
      <c r="AK97" s="606"/>
      <c r="AL97" s="605">
        <f t="shared" si="56"/>
        <v>12.964685117888946</v>
      </c>
      <c r="AM97" s="606"/>
      <c r="AN97" s="605">
        <f t="shared" si="57"/>
        <v>0</v>
      </c>
      <c r="AO97" s="606"/>
      <c r="AP97" s="606">
        <f t="shared" si="58"/>
        <v>12.964685117888946</v>
      </c>
      <c r="AR97" s="606">
        <v>0</v>
      </c>
      <c r="AS97" s="606"/>
      <c r="AT97" s="620">
        <v>2.0516069972088764</v>
      </c>
      <c r="AU97" s="606"/>
      <c r="AV97" s="606">
        <v>0</v>
      </c>
      <c r="AW97" s="606"/>
      <c r="AX97" s="605">
        <f t="shared" si="67"/>
        <v>0</v>
      </c>
      <c r="AY97" s="606"/>
      <c r="AZ97" s="605">
        <f t="shared" si="68"/>
        <v>10.913078120680069</v>
      </c>
      <c r="BA97" s="606"/>
      <c r="BB97" s="605">
        <f t="shared" si="69"/>
        <v>0</v>
      </c>
      <c r="BC97" s="606"/>
      <c r="BD97" s="606">
        <f t="shared" si="62"/>
        <v>10.913078120680069</v>
      </c>
      <c r="BF97" s="712">
        <f t="shared" si="63"/>
        <v>15.153601291761415</v>
      </c>
      <c r="BH97" s="590">
        <f t="shared" si="66"/>
        <v>455</v>
      </c>
    </row>
    <row r="98" spans="1:60" ht="14.5">
      <c r="A98" s="590">
        <f t="shared" si="54"/>
        <v>456</v>
      </c>
      <c r="B98" s="621"/>
      <c r="F98" s="715"/>
      <c r="H98" s="723"/>
      <c r="J98" s="620"/>
      <c r="K98" s="606"/>
      <c r="L98" s="620"/>
      <c r="M98" s="606"/>
      <c r="N98" s="620"/>
      <c r="P98" s="714"/>
      <c r="R98" s="606">
        <v>0</v>
      </c>
      <c r="S98" s="606"/>
      <c r="T98" s="606">
        <f t="shared" ref="T98" si="72">N98</f>
        <v>0</v>
      </c>
      <c r="U98" s="606"/>
      <c r="V98" s="606">
        <v>0</v>
      </c>
      <c r="W98" s="606"/>
      <c r="X98" s="606">
        <f t="shared" ref="X98" si="73">SUM(R98:V98)</f>
        <v>0</v>
      </c>
      <c r="Y98" s="606"/>
      <c r="Z98" s="607"/>
      <c r="AA98" s="606"/>
      <c r="AB98" s="606">
        <v>0</v>
      </c>
      <c r="AC98" s="606"/>
      <c r="AD98" s="620">
        <v>0</v>
      </c>
      <c r="AE98" s="606"/>
      <c r="AF98" s="606">
        <v>0</v>
      </c>
      <c r="AG98" s="606"/>
      <c r="AH98" s="712"/>
      <c r="AI98" s="606"/>
      <c r="AJ98" s="605">
        <f t="shared" si="55"/>
        <v>0</v>
      </c>
      <c r="AK98" s="606"/>
      <c r="AL98" s="605">
        <f t="shared" si="56"/>
        <v>0</v>
      </c>
      <c r="AM98" s="606"/>
      <c r="AN98" s="605">
        <f t="shared" si="57"/>
        <v>0</v>
      </c>
      <c r="AO98" s="606"/>
      <c r="AP98" s="606">
        <f t="shared" si="58"/>
        <v>0</v>
      </c>
      <c r="AR98" s="606">
        <v>0</v>
      </c>
      <c r="AS98" s="606"/>
      <c r="AT98" s="620"/>
      <c r="AU98" s="606"/>
      <c r="AV98" s="606">
        <v>0</v>
      </c>
      <c r="AW98" s="606"/>
      <c r="AX98" s="605">
        <f t="shared" si="67"/>
        <v>0</v>
      </c>
      <c r="AY98" s="606"/>
      <c r="AZ98" s="605">
        <f t="shared" si="68"/>
        <v>0</v>
      </c>
      <c r="BA98" s="606"/>
      <c r="BB98" s="605">
        <f t="shared" si="69"/>
        <v>0</v>
      </c>
      <c r="BC98" s="606"/>
      <c r="BD98" s="606">
        <f t="shared" si="62"/>
        <v>0</v>
      </c>
      <c r="BF98" s="712">
        <f t="shared" si="63"/>
        <v>0</v>
      </c>
      <c r="BH98" s="590">
        <f t="shared" si="66"/>
        <v>456</v>
      </c>
    </row>
    <row r="99" spans="1:60" ht="14.5">
      <c r="A99" s="590">
        <f t="shared" si="54"/>
        <v>457</v>
      </c>
      <c r="B99" s="621"/>
      <c r="F99" s="715"/>
      <c r="H99" s="723"/>
      <c r="J99" s="620"/>
      <c r="K99" s="606"/>
      <c r="L99" s="620"/>
      <c r="M99" s="606"/>
      <c r="N99" s="620"/>
      <c r="P99" s="714"/>
      <c r="R99" s="606">
        <v>0</v>
      </c>
      <c r="S99" s="606"/>
      <c r="T99" s="606">
        <f t="shared" ref="T99" si="74">N99</f>
        <v>0</v>
      </c>
      <c r="U99" s="606"/>
      <c r="V99" s="606">
        <v>0</v>
      </c>
      <c r="W99" s="606"/>
      <c r="X99" s="606">
        <f t="shared" ref="X99:X104" si="75">SUM(R99:V99)</f>
        <v>0</v>
      </c>
      <c r="Y99" s="606"/>
      <c r="Z99" s="607"/>
      <c r="AA99" s="606"/>
      <c r="AB99" s="606">
        <v>0</v>
      </c>
      <c r="AC99" s="606"/>
      <c r="AD99" s="620">
        <v>0</v>
      </c>
      <c r="AE99" s="606"/>
      <c r="AF99" s="606">
        <v>0</v>
      </c>
      <c r="AG99" s="606"/>
      <c r="AH99" s="712"/>
      <c r="AI99" s="606"/>
      <c r="AJ99" s="605">
        <f t="shared" si="55"/>
        <v>0</v>
      </c>
      <c r="AK99" s="606"/>
      <c r="AL99" s="605">
        <f t="shared" si="56"/>
        <v>0</v>
      </c>
      <c r="AM99" s="606"/>
      <c r="AN99" s="605">
        <f t="shared" si="57"/>
        <v>0</v>
      </c>
      <c r="AO99" s="606"/>
      <c r="AP99" s="606">
        <f t="shared" si="58"/>
        <v>0</v>
      </c>
      <c r="AR99" s="606">
        <v>0</v>
      </c>
      <c r="AS99" s="606"/>
      <c r="AT99" s="620"/>
      <c r="AU99" s="606"/>
      <c r="AV99" s="606">
        <v>0</v>
      </c>
      <c r="AW99" s="606"/>
      <c r="AX99" s="605">
        <f t="shared" si="67"/>
        <v>0</v>
      </c>
      <c r="AY99" s="606"/>
      <c r="AZ99" s="605">
        <f t="shared" si="68"/>
        <v>0</v>
      </c>
      <c r="BA99" s="606"/>
      <c r="BB99" s="605">
        <f t="shared" si="69"/>
        <v>0</v>
      </c>
      <c r="BC99" s="606"/>
      <c r="BD99" s="606">
        <f t="shared" si="62"/>
        <v>0</v>
      </c>
      <c r="BF99" s="712">
        <f t="shared" si="63"/>
        <v>0</v>
      </c>
      <c r="BH99" s="590">
        <f t="shared" si="66"/>
        <v>457</v>
      </c>
    </row>
    <row r="100" spans="1:60" ht="14.5">
      <c r="A100" s="590"/>
      <c r="B100" s="595"/>
      <c r="F100" s="715"/>
      <c r="H100" s="712"/>
      <c r="J100" s="606"/>
      <c r="K100" s="606"/>
      <c r="L100" s="606"/>
      <c r="M100" s="606"/>
      <c r="N100" s="606"/>
      <c r="P100" s="714"/>
      <c r="R100" s="606"/>
      <c r="S100" s="606"/>
      <c r="T100" s="606"/>
      <c r="U100" s="606"/>
      <c r="V100" s="606"/>
      <c r="W100" s="606"/>
      <c r="X100" s="606"/>
      <c r="Y100" s="606"/>
      <c r="Z100" s="607"/>
      <c r="AA100" s="606"/>
      <c r="AB100" s="606"/>
      <c r="AC100" s="606"/>
      <c r="AD100" s="606"/>
      <c r="AE100" s="606"/>
      <c r="AF100" s="606"/>
      <c r="AG100" s="606"/>
      <c r="AH100" s="712"/>
      <c r="AI100" s="606"/>
      <c r="AJ100" s="606"/>
      <c r="AK100" s="606"/>
      <c r="AL100" s="606"/>
      <c r="AM100" s="606"/>
      <c r="AN100" s="606"/>
      <c r="AO100" s="606"/>
      <c r="AP100" s="606"/>
      <c r="AR100" s="606"/>
      <c r="AS100" s="606"/>
      <c r="AT100" s="606"/>
      <c r="AU100" s="606"/>
      <c r="AV100" s="606"/>
      <c r="AW100" s="606"/>
      <c r="AX100" s="606"/>
      <c r="AY100" s="606"/>
      <c r="AZ100" s="606"/>
      <c r="BA100" s="606"/>
      <c r="BB100" s="606"/>
      <c r="BC100" s="606"/>
      <c r="BD100" s="606"/>
      <c r="BF100" s="712"/>
      <c r="BH100" s="590"/>
    </row>
    <row r="101" spans="1:60" ht="14.5">
      <c r="A101" s="323" t="s">
        <v>124</v>
      </c>
      <c r="F101" s="715"/>
      <c r="H101" s="705"/>
      <c r="P101" s="714"/>
      <c r="X101" s="606"/>
      <c r="Z101" s="715"/>
      <c r="BH101" s="616" t="s">
        <v>124</v>
      </c>
    </row>
    <row r="102" spans="1:60" ht="14.5">
      <c r="A102" s="590">
        <v>500</v>
      </c>
      <c r="B102" s="588" t="s">
        <v>1570</v>
      </c>
      <c r="F102" s="715"/>
      <c r="H102" s="721">
        <f>ROUND(SUM(H103:H113),0)</f>
        <v>0</v>
      </c>
      <c r="J102" s="609">
        <f>ROUND(SUM(J103:J113),0)</f>
        <v>9730734</v>
      </c>
      <c r="K102" s="606"/>
      <c r="L102" s="609">
        <f>ROUND(SUM(L103:L113),0)</f>
        <v>5840030</v>
      </c>
      <c r="M102" s="606"/>
      <c r="N102" s="609">
        <f>ROUND(SUM(N103:N113),0)</f>
        <v>3890704</v>
      </c>
      <c r="O102" s="590"/>
      <c r="P102" s="714"/>
      <c r="Q102" s="590"/>
      <c r="R102" s="609">
        <f>ROUND(SUM(R103:R113),0)</f>
        <v>0</v>
      </c>
      <c r="S102" s="606"/>
      <c r="T102" s="609">
        <f>ROUND(SUM(T103:T113),0)</f>
        <v>0</v>
      </c>
      <c r="U102" s="606"/>
      <c r="V102" s="609">
        <f>ROUND(SUM(V103:V113),0)</f>
        <v>3890704</v>
      </c>
      <c r="W102" s="606"/>
      <c r="X102" s="609">
        <f>ROUND(SUM(X103:X113),0)</f>
        <v>3890704</v>
      </c>
      <c r="Y102" s="606"/>
      <c r="Z102" s="607"/>
      <c r="AA102" s="606"/>
      <c r="AB102" s="609">
        <f>SUM(AB103:AB113)</f>
        <v>0</v>
      </c>
      <c r="AC102" s="606"/>
      <c r="AD102" s="609">
        <f>SUM(AD103:AD113)</f>
        <v>0</v>
      </c>
      <c r="AE102" s="606"/>
      <c r="AF102" s="609">
        <f>SUM(AF103:AF113)</f>
        <v>357465.50417482667</v>
      </c>
      <c r="AG102" s="606"/>
      <c r="AH102" s="712"/>
      <c r="AI102" s="606"/>
      <c r="AJ102" s="609">
        <f>SUM(AJ103:AJ113)</f>
        <v>0</v>
      </c>
      <c r="AK102" s="606"/>
      <c r="AL102" s="609">
        <f>SUM(AL103:AL113)</f>
        <v>0</v>
      </c>
      <c r="AM102" s="606"/>
      <c r="AN102" s="609">
        <f>SUM(AN103:AN113)</f>
        <v>3533238.631668462</v>
      </c>
      <c r="AO102" s="606"/>
      <c r="AP102" s="609">
        <f>SUM(AP103:AP113)</f>
        <v>3533238.631668462</v>
      </c>
      <c r="AR102" s="609">
        <f>SUM(AR103:AR113)</f>
        <v>0</v>
      </c>
      <c r="AS102" s="606"/>
      <c r="AT102" s="609">
        <f>SUM(AT103:AT113)</f>
        <v>0</v>
      </c>
      <c r="AU102" s="606"/>
      <c r="AV102" s="609">
        <f>SUM(AV103:AV113)</f>
        <v>559120.10937917756</v>
      </c>
      <c r="AW102" s="606"/>
      <c r="AX102" s="609">
        <f>SUM(AX103:AX113)</f>
        <v>0</v>
      </c>
      <c r="AY102" s="606"/>
      <c r="AZ102" s="609">
        <f>SUM(AZ103:AZ113)</f>
        <v>0</v>
      </c>
      <c r="BA102" s="606"/>
      <c r="BB102" s="609">
        <f>SUM(BB103:BB113)</f>
        <v>2974118.5222892845</v>
      </c>
      <c r="BC102" s="606"/>
      <c r="BD102" s="609">
        <f>SUM(BD103:BD113)</f>
        <v>2974118.5222892845</v>
      </c>
      <c r="BF102" s="721">
        <f>ROUND(SUM(BF103:BF113),0)</f>
        <v>4129779</v>
      </c>
      <c r="BH102" s="590">
        <f t="shared" ref="BH102:BH113" si="76">A102</f>
        <v>500</v>
      </c>
    </row>
    <row r="103" spans="1:60" ht="14.5">
      <c r="A103" s="590">
        <f t="shared" ref="A103:A107" si="77">A102+1</f>
        <v>501</v>
      </c>
      <c r="B103" s="634" t="s">
        <v>1847</v>
      </c>
      <c r="F103" s="706" t="s">
        <v>1768</v>
      </c>
      <c r="H103" s="723"/>
      <c r="J103" s="620">
        <v>5449227.7939999998</v>
      </c>
      <c r="K103" s="606"/>
      <c r="L103" s="620">
        <v>3269536.6763999998</v>
      </c>
      <c r="M103" s="606"/>
      <c r="N103" s="620">
        <v>2179691.1176</v>
      </c>
      <c r="P103" s="713" t="s">
        <v>1763</v>
      </c>
      <c r="R103" s="606">
        <v>0</v>
      </c>
      <c r="S103" s="606"/>
      <c r="T103" s="606">
        <v>0</v>
      </c>
      <c r="U103" s="606"/>
      <c r="V103" s="606">
        <f>+N103</f>
        <v>2179691.1176</v>
      </c>
      <c r="W103" s="606"/>
      <c r="X103" s="606">
        <f t="shared" si="75"/>
        <v>2179691.1176</v>
      </c>
      <c r="Y103" s="606"/>
      <c r="Z103" s="607" t="s">
        <v>1771</v>
      </c>
      <c r="AA103" s="606"/>
      <c r="AB103" s="606">
        <v>0</v>
      </c>
      <c r="AC103" s="606"/>
      <c r="AD103" s="606">
        <v>0</v>
      </c>
      <c r="AE103" s="606"/>
      <c r="AF103" s="620">
        <v>1666878.3892207709</v>
      </c>
      <c r="AG103" s="606"/>
      <c r="AH103" s="607" t="s">
        <v>1773</v>
      </c>
      <c r="AI103" s="606"/>
      <c r="AJ103" s="605">
        <f t="shared" ref="AJ103:AJ113" si="78">+R103-AB103</f>
        <v>0</v>
      </c>
      <c r="AK103" s="606"/>
      <c r="AL103" s="605">
        <f t="shared" ref="AL103:AL113" si="79">+T103-AD103</f>
        <v>0</v>
      </c>
      <c r="AM103" s="606"/>
      <c r="AN103" s="605">
        <f t="shared" ref="AN103:AN113" si="80">+V103-AF103</f>
        <v>512812.72837922908</v>
      </c>
      <c r="AO103" s="606"/>
      <c r="AP103" s="606">
        <f t="shared" ref="AP103:AP113" si="81">SUM(AJ103:AN103)</f>
        <v>512812.72837922908</v>
      </c>
      <c r="AR103" s="606">
        <v>0</v>
      </c>
      <c r="AS103" s="606"/>
      <c r="AT103" s="606">
        <v>0</v>
      </c>
      <c r="AU103" s="606"/>
      <c r="AV103" s="620">
        <v>81150.389220770798</v>
      </c>
      <c r="AW103" s="606"/>
      <c r="AX103" s="605">
        <f t="shared" ref="AX103:AX113" si="82">+AJ103-AR103</f>
        <v>0</v>
      </c>
      <c r="AY103" s="606"/>
      <c r="AZ103" s="605">
        <f t="shared" ref="AZ103:AZ113" si="83">+AL103-AT103</f>
        <v>0</v>
      </c>
      <c r="BA103" s="606"/>
      <c r="BB103" s="605">
        <f t="shared" ref="BB103:BB113" si="84">+AN103-AV103</f>
        <v>431662.33915845829</v>
      </c>
      <c r="BC103" s="606"/>
      <c r="BD103" s="606">
        <f>SUM(AX103:BB103)</f>
        <v>431662.33915845829</v>
      </c>
      <c r="BF103" s="712">
        <f t="shared" ref="BF103:BF111" si="85">+BD103*$BF$9</f>
        <v>599394.49786223448</v>
      </c>
      <c r="BH103" s="590">
        <f t="shared" si="76"/>
        <v>501</v>
      </c>
    </row>
    <row r="104" spans="1:60" ht="14.5">
      <c r="A104" s="590">
        <f t="shared" si="77"/>
        <v>502</v>
      </c>
      <c r="B104" s="634" t="s">
        <v>1848</v>
      </c>
      <c r="F104" s="706" t="s">
        <v>1768</v>
      </c>
      <c r="H104" s="723"/>
      <c r="J104" s="620">
        <v>26635870</v>
      </c>
      <c r="K104" s="606"/>
      <c r="L104" s="620">
        <v>15981522</v>
      </c>
      <c r="M104" s="606"/>
      <c r="N104" s="620">
        <v>10654348</v>
      </c>
      <c r="P104" s="713" t="s">
        <v>1763</v>
      </c>
      <c r="R104" s="606">
        <v>0</v>
      </c>
      <c r="S104" s="606"/>
      <c r="T104" s="606">
        <v>0</v>
      </c>
      <c r="U104" s="606"/>
      <c r="V104" s="606">
        <f>+N104</f>
        <v>10654348</v>
      </c>
      <c r="W104" s="606"/>
      <c r="X104" s="606">
        <f t="shared" si="75"/>
        <v>10654348</v>
      </c>
      <c r="Y104" s="606"/>
      <c r="Z104" s="607" t="s">
        <v>1771</v>
      </c>
      <c r="AA104" s="606"/>
      <c r="AB104" s="606">
        <v>0</v>
      </c>
      <c r="AC104" s="606"/>
      <c r="AD104" s="606">
        <v>0</v>
      </c>
      <c r="AE104" s="606"/>
      <c r="AF104" s="620">
        <v>-1055491.0996632751</v>
      </c>
      <c r="AG104" s="606"/>
      <c r="AH104" s="607" t="s">
        <v>1773</v>
      </c>
      <c r="AI104" s="606"/>
      <c r="AJ104" s="605">
        <f t="shared" si="78"/>
        <v>0</v>
      </c>
      <c r="AK104" s="606"/>
      <c r="AL104" s="605">
        <f t="shared" si="79"/>
        <v>0</v>
      </c>
      <c r="AM104" s="606"/>
      <c r="AN104" s="605">
        <f t="shared" si="80"/>
        <v>11709839.099663274</v>
      </c>
      <c r="AO104" s="606"/>
      <c r="AP104" s="606">
        <f t="shared" si="81"/>
        <v>11709839.099663274</v>
      </c>
      <c r="AR104" s="606">
        <v>0</v>
      </c>
      <c r="AS104" s="606"/>
      <c r="AT104" s="606">
        <v>0</v>
      </c>
      <c r="AU104" s="606"/>
      <c r="AV104" s="620">
        <v>1853032.88237294</v>
      </c>
      <c r="AW104" s="606"/>
      <c r="AX104" s="605">
        <f t="shared" si="82"/>
        <v>0</v>
      </c>
      <c r="AY104" s="606"/>
      <c r="AZ104" s="605">
        <f t="shared" si="83"/>
        <v>0</v>
      </c>
      <c r="BA104" s="606"/>
      <c r="BB104" s="605">
        <f t="shared" si="84"/>
        <v>9856806.2172903344</v>
      </c>
      <c r="BC104" s="606"/>
      <c r="BD104" s="606">
        <f t="shared" ref="BD104" si="86">SUM(AX104:BB104)</f>
        <v>9856806.2172903344</v>
      </c>
      <c r="BF104" s="712">
        <f t="shared" si="85"/>
        <v>13686891.065493878</v>
      </c>
      <c r="BH104" s="590">
        <f t="shared" si="76"/>
        <v>502</v>
      </c>
    </row>
    <row r="105" spans="1:60" ht="14.5">
      <c r="A105" s="590" t="s">
        <v>1932</v>
      </c>
      <c r="B105" s="634" t="s">
        <v>1933</v>
      </c>
      <c r="F105" s="706" t="s">
        <v>1768</v>
      </c>
      <c r="H105" s="723"/>
      <c r="J105" s="620">
        <v>-26601023.383000001</v>
      </c>
      <c r="K105" s="606"/>
      <c r="L105" s="620">
        <v>-15960614.0298</v>
      </c>
      <c r="M105" s="606"/>
      <c r="N105" s="620">
        <v>-10640409.3532</v>
      </c>
      <c r="P105" s="713" t="s">
        <v>1763</v>
      </c>
      <c r="R105" s="606">
        <v>0</v>
      </c>
      <c r="S105" s="606"/>
      <c r="T105" s="606">
        <v>0</v>
      </c>
      <c r="U105" s="606"/>
      <c r="V105" s="606">
        <f>+N105</f>
        <v>-10640409.3532</v>
      </c>
      <c r="W105" s="606"/>
      <c r="X105" s="606">
        <f t="shared" ref="X105" si="87">SUM(R105:V105)</f>
        <v>-10640409.3532</v>
      </c>
      <c r="Y105" s="606"/>
      <c r="Z105" s="607" t="s">
        <v>1771</v>
      </c>
      <c r="AA105" s="606"/>
      <c r="AB105" s="606">
        <v>0</v>
      </c>
      <c r="AC105" s="606"/>
      <c r="AD105" s="606">
        <v>0</v>
      </c>
      <c r="AE105" s="606"/>
      <c r="AF105" s="620">
        <v>-1626721.5523326711</v>
      </c>
      <c r="AG105" s="606"/>
      <c r="AH105" s="607" t="s">
        <v>1773</v>
      </c>
      <c r="AI105" s="606"/>
      <c r="AJ105" s="605">
        <f t="shared" ref="AJ105" si="88">+R105-AB105</f>
        <v>0</v>
      </c>
      <c r="AK105" s="606"/>
      <c r="AL105" s="605">
        <f t="shared" ref="AL105" si="89">+T105-AD105</f>
        <v>0</v>
      </c>
      <c r="AM105" s="606"/>
      <c r="AN105" s="605">
        <f t="shared" ref="AN105" si="90">+V105-AF105</f>
        <v>-9013687.8008673284</v>
      </c>
      <c r="AO105" s="606"/>
      <c r="AP105" s="606">
        <f t="shared" ref="AP105" si="91">SUM(AJ105:AN105)</f>
        <v>-9013687.8008673284</v>
      </c>
      <c r="AR105" s="606">
        <v>0</v>
      </c>
      <c r="AS105" s="606"/>
      <c r="AT105" s="606">
        <v>0</v>
      </c>
      <c r="AU105" s="606"/>
      <c r="AV105" s="620">
        <v>-1426378.2571471201</v>
      </c>
      <c r="AW105" s="606"/>
      <c r="AX105" s="605">
        <f t="shared" ref="AX105" si="92">+AJ105-AR105</f>
        <v>0</v>
      </c>
      <c r="AY105" s="606"/>
      <c r="AZ105" s="605">
        <f t="shared" ref="AZ105" si="93">+AL105-AT105</f>
        <v>0</v>
      </c>
      <c r="BA105" s="606"/>
      <c r="BB105" s="605">
        <f t="shared" ref="BB105" si="94">+AN105-AV105</f>
        <v>-7587309.5437202081</v>
      </c>
      <c r="BC105" s="606"/>
      <c r="BD105" s="606">
        <f t="shared" ref="BD105" si="95">SUM(AX105:BB105)</f>
        <v>-7587309.5437202081</v>
      </c>
      <c r="BF105" s="712">
        <f t="shared" ref="BF105" si="96">+BD105*$BF$9</f>
        <v>-10535530.162185568</v>
      </c>
      <c r="BH105" s="590" t="s">
        <v>1932</v>
      </c>
    </row>
    <row r="106" spans="1:60" ht="14.5">
      <c r="A106" s="590">
        <f>A104+1</f>
        <v>503</v>
      </c>
      <c r="B106" s="622" t="s">
        <v>1849</v>
      </c>
      <c r="F106" s="706" t="s">
        <v>1766</v>
      </c>
      <c r="H106" s="723"/>
      <c r="J106" s="620">
        <v>-47739682.848362915</v>
      </c>
      <c r="K106" s="606"/>
      <c r="L106" s="620">
        <v>-28643809.713524446</v>
      </c>
      <c r="M106" s="606"/>
      <c r="N106" s="620">
        <v>-19095873.134838477</v>
      </c>
      <c r="P106" s="713" t="s">
        <v>1762</v>
      </c>
      <c r="R106" s="606">
        <v>0</v>
      </c>
      <c r="S106" s="606"/>
      <c r="T106" s="606">
        <v>0</v>
      </c>
      <c r="U106" s="606"/>
      <c r="V106" s="606">
        <f>N106</f>
        <v>-19095873.134838477</v>
      </c>
      <c r="W106" s="606"/>
      <c r="X106" s="606">
        <f>SUM(R106:V106)</f>
        <v>-19095873.134838477</v>
      </c>
      <c r="Y106" s="606"/>
      <c r="Z106" s="607" t="s">
        <v>1771</v>
      </c>
      <c r="AA106" s="606"/>
      <c r="AB106" s="606">
        <v>0</v>
      </c>
      <c r="AC106" s="606"/>
      <c r="AD106" s="606">
        <v>0</v>
      </c>
      <c r="AE106" s="606"/>
      <c r="AF106" s="620">
        <v>-15447060.323536955</v>
      </c>
      <c r="AG106" s="606"/>
      <c r="AH106" s="607" t="s">
        <v>1772</v>
      </c>
      <c r="AI106" s="606"/>
      <c r="AJ106" s="605">
        <f t="shared" si="78"/>
        <v>0</v>
      </c>
      <c r="AK106" s="606"/>
      <c r="AL106" s="605">
        <f t="shared" si="79"/>
        <v>0</v>
      </c>
      <c r="AM106" s="606"/>
      <c r="AN106" s="605">
        <f t="shared" si="80"/>
        <v>-3648812.811301522</v>
      </c>
      <c r="AO106" s="606"/>
      <c r="AP106" s="606">
        <f t="shared" si="81"/>
        <v>-3648812.811301522</v>
      </c>
      <c r="AR106" s="606">
        <v>0</v>
      </c>
      <c r="AS106" s="606"/>
      <c r="AT106" s="606">
        <v>0</v>
      </c>
      <c r="AU106" s="606"/>
      <c r="AV106" s="620">
        <v>-577409.31053098058</v>
      </c>
      <c r="AW106" s="606"/>
      <c r="AX106" s="605">
        <f t="shared" si="82"/>
        <v>0</v>
      </c>
      <c r="AY106" s="606"/>
      <c r="AZ106" s="605">
        <f t="shared" si="83"/>
        <v>0</v>
      </c>
      <c r="BA106" s="606"/>
      <c r="BB106" s="605">
        <f t="shared" si="84"/>
        <v>-3071403.5007705414</v>
      </c>
      <c r="BC106" s="606"/>
      <c r="BD106" s="606">
        <f t="shared" ref="BD106:BD113" si="97">SUM(AX106:BB106)</f>
        <v>-3071403.5007705414</v>
      </c>
      <c r="BF106" s="712">
        <f t="shared" si="85"/>
        <v>-4264866.7536429772</v>
      </c>
      <c r="BH106" s="590">
        <f t="shared" si="76"/>
        <v>503</v>
      </c>
    </row>
    <row r="107" spans="1:60" ht="14.5">
      <c r="A107" s="590">
        <f t="shared" si="77"/>
        <v>504</v>
      </c>
      <c r="B107" s="622" t="s">
        <v>1850</v>
      </c>
      <c r="F107" s="715" t="s">
        <v>1766</v>
      </c>
      <c r="H107" s="723"/>
      <c r="J107" s="620">
        <v>-103799.5006187651</v>
      </c>
      <c r="K107" s="606"/>
      <c r="L107" s="620">
        <v>-62279.567696489263</v>
      </c>
      <c r="M107" s="606"/>
      <c r="N107" s="620">
        <v>-41519.932922275839</v>
      </c>
      <c r="P107" s="713" t="s">
        <v>1762</v>
      </c>
      <c r="R107" s="606">
        <v>0</v>
      </c>
      <c r="S107" s="606"/>
      <c r="T107" s="606">
        <v>0</v>
      </c>
      <c r="U107" s="606"/>
      <c r="V107" s="606">
        <f>N107</f>
        <v>-41519.932922275839</v>
      </c>
      <c r="W107" s="606"/>
      <c r="X107" s="606">
        <f>SUM(R107:V107)</f>
        <v>-41519.932922275839</v>
      </c>
      <c r="Y107" s="606"/>
      <c r="Z107" s="607" t="s">
        <v>1771</v>
      </c>
      <c r="AA107" s="606"/>
      <c r="AB107" s="606">
        <v>0</v>
      </c>
      <c r="AC107" s="606"/>
      <c r="AD107" s="606">
        <v>0</v>
      </c>
      <c r="AE107" s="606"/>
      <c r="AF107" s="620">
        <v>-33586.362034920792</v>
      </c>
      <c r="AG107" s="606"/>
      <c r="AH107" s="607" t="s">
        <v>1772</v>
      </c>
      <c r="AI107" s="606"/>
      <c r="AJ107" s="605">
        <f t="shared" si="78"/>
        <v>0</v>
      </c>
      <c r="AK107" s="606"/>
      <c r="AL107" s="605">
        <f t="shared" si="79"/>
        <v>0</v>
      </c>
      <c r="AM107" s="606"/>
      <c r="AN107" s="605">
        <f t="shared" si="80"/>
        <v>-7933.5708873550466</v>
      </c>
      <c r="AO107" s="606"/>
      <c r="AP107" s="606">
        <f t="shared" si="81"/>
        <v>-7933.5708873550466</v>
      </c>
      <c r="AR107" s="606">
        <v>0</v>
      </c>
      <c r="AS107" s="606"/>
      <c r="AT107" s="606">
        <v>0</v>
      </c>
      <c r="AU107" s="606"/>
      <c r="AV107" s="620">
        <v>-1255.454289660405</v>
      </c>
      <c r="AW107" s="606"/>
      <c r="AX107" s="605">
        <f t="shared" si="82"/>
        <v>0</v>
      </c>
      <c r="AY107" s="606"/>
      <c r="AZ107" s="605">
        <f t="shared" si="83"/>
        <v>0</v>
      </c>
      <c r="BA107" s="606"/>
      <c r="BB107" s="605">
        <f t="shared" si="84"/>
        <v>-6678.1165976946413</v>
      </c>
      <c r="BC107" s="606"/>
      <c r="BD107" s="606">
        <f t="shared" si="97"/>
        <v>-6678.1165976946413</v>
      </c>
      <c r="BF107" s="712">
        <f t="shared" si="85"/>
        <v>-9273.0497465780591</v>
      </c>
      <c r="BH107" s="590">
        <f t="shared" si="76"/>
        <v>504</v>
      </c>
    </row>
    <row r="108" spans="1:60" ht="14.5">
      <c r="A108" s="590">
        <f>+A107+1</f>
        <v>505</v>
      </c>
      <c r="B108" s="622" t="s">
        <v>1851</v>
      </c>
      <c r="F108" s="715" t="s">
        <v>1766</v>
      </c>
      <c r="H108" s="723"/>
      <c r="J108" s="620">
        <v>53593752.500699803</v>
      </c>
      <c r="K108" s="606"/>
      <c r="L108" s="620">
        <v>32156251.730074722</v>
      </c>
      <c r="M108" s="606"/>
      <c r="N108" s="620">
        <v>21437500.770625081</v>
      </c>
      <c r="P108" s="713" t="s">
        <v>1762</v>
      </c>
      <c r="R108" s="606">
        <v>0</v>
      </c>
      <c r="S108" s="606"/>
      <c r="T108" s="606">
        <v>0</v>
      </c>
      <c r="U108" s="606"/>
      <c r="V108" s="606">
        <f>N108</f>
        <v>21437500.770625081</v>
      </c>
      <c r="W108" s="606"/>
      <c r="X108" s="606">
        <f>SUM(R108:V108)</f>
        <v>21437500.770625081</v>
      </c>
      <c r="Y108" s="606"/>
      <c r="Z108" s="607" t="s">
        <v>1771</v>
      </c>
      <c r="AA108" s="606"/>
      <c r="AB108" s="606">
        <v>0</v>
      </c>
      <c r="AC108" s="606"/>
      <c r="AD108" s="606">
        <v>0</v>
      </c>
      <c r="AE108" s="606"/>
      <c r="AF108" s="620">
        <v>17341253.015845228</v>
      </c>
      <c r="AG108" s="606"/>
      <c r="AH108" s="607" t="s">
        <v>1772</v>
      </c>
      <c r="AI108" s="606"/>
      <c r="AJ108" s="605">
        <f t="shared" si="78"/>
        <v>0</v>
      </c>
      <c r="AK108" s="606"/>
      <c r="AL108" s="605">
        <f t="shared" si="79"/>
        <v>0</v>
      </c>
      <c r="AM108" s="606"/>
      <c r="AN108" s="605">
        <f t="shared" si="80"/>
        <v>4096247.7547798529</v>
      </c>
      <c r="AO108" s="606"/>
      <c r="AP108" s="606">
        <f t="shared" si="81"/>
        <v>4096247.7547798529</v>
      </c>
      <c r="AR108" s="606">
        <v>0</v>
      </c>
      <c r="AS108" s="606"/>
      <c r="AT108" s="606">
        <v>0</v>
      </c>
      <c r="AU108" s="606"/>
      <c r="AV108" s="620">
        <v>648214.01210983167</v>
      </c>
      <c r="AW108" s="606"/>
      <c r="AX108" s="605">
        <f t="shared" si="82"/>
        <v>0</v>
      </c>
      <c r="AY108" s="606"/>
      <c r="AZ108" s="605">
        <f t="shared" si="83"/>
        <v>0</v>
      </c>
      <c r="BA108" s="606"/>
      <c r="BB108" s="605">
        <f t="shared" si="84"/>
        <v>3448033.742670021</v>
      </c>
      <c r="BC108" s="606"/>
      <c r="BD108" s="606">
        <f t="shared" si="97"/>
        <v>3448033.742670021</v>
      </c>
      <c r="BF108" s="712">
        <f t="shared" si="85"/>
        <v>4787845.1889708741</v>
      </c>
      <c r="BH108" s="590">
        <f t="shared" si="76"/>
        <v>505</v>
      </c>
    </row>
    <row r="109" spans="1:60" ht="14.5">
      <c r="A109" s="590">
        <f>+A108+1</f>
        <v>506</v>
      </c>
      <c r="B109" s="622" t="s">
        <v>1852</v>
      </c>
      <c r="F109" s="715" t="s">
        <v>1766</v>
      </c>
      <c r="H109" s="723"/>
      <c r="J109" s="620">
        <v>4213331.3249256369</v>
      </c>
      <c r="K109" s="606"/>
      <c r="L109" s="620">
        <v>2531567.1823000652</v>
      </c>
      <c r="M109" s="606"/>
      <c r="N109" s="620">
        <v>1681764.1426255719</v>
      </c>
      <c r="P109" s="713" t="s">
        <v>1762</v>
      </c>
      <c r="R109" s="606">
        <v>0</v>
      </c>
      <c r="S109" s="606"/>
      <c r="T109" s="606">
        <v>0</v>
      </c>
      <c r="U109" s="606"/>
      <c r="V109" s="606">
        <f>N109</f>
        <v>1681764.1426255719</v>
      </c>
      <c r="W109" s="606"/>
      <c r="X109" s="606">
        <f>SUM(R109:V109)</f>
        <v>1681764.1426255719</v>
      </c>
      <c r="Y109" s="606"/>
      <c r="Z109" s="607" t="s">
        <v>1771</v>
      </c>
      <c r="AA109" s="606"/>
      <c r="AB109" s="606">
        <v>0</v>
      </c>
      <c r="AC109" s="606"/>
      <c r="AD109" s="606">
        <v>0</v>
      </c>
      <c r="AE109" s="606"/>
      <c r="AF109" s="620">
        <v>1360414.9953061761</v>
      </c>
      <c r="AG109" s="606"/>
      <c r="AH109" s="607" t="s">
        <v>1772</v>
      </c>
      <c r="AI109" s="606"/>
      <c r="AJ109" s="605">
        <f t="shared" si="78"/>
        <v>0</v>
      </c>
      <c r="AK109" s="606"/>
      <c r="AL109" s="605">
        <f t="shared" si="79"/>
        <v>0</v>
      </c>
      <c r="AM109" s="606"/>
      <c r="AN109" s="605">
        <f t="shared" si="80"/>
        <v>321349.14731939579</v>
      </c>
      <c r="AO109" s="606"/>
      <c r="AP109" s="606">
        <f t="shared" si="81"/>
        <v>321349.14731939579</v>
      </c>
      <c r="AR109" s="606">
        <v>0</v>
      </c>
      <c r="AS109" s="606"/>
      <c r="AT109" s="606">
        <v>0</v>
      </c>
      <c r="AU109" s="606"/>
      <c r="AV109" s="620">
        <v>50852.153615198971</v>
      </c>
      <c r="AW109" s="606"/>
      <c r="AX109" s="605">
        <f t="shared" si="82"/>
        <v>0</v>
      </c>
      <c r="AY109" s="606"/>
      <c r="AZ109" s="605">
        <f t="shared" si="83"/>
        <v>0</v>
      </c>
      <c r="BA109" s="606"/>
      <c r="BB109" s="605">
        <f t="shared" si="84"/>
        <v>270496.99370419682</v>
      </c>
      <c r="BC109" s="606"/>
      <c r="BD109" s="606">
        <f t="shared" si="97"/>
        <v>270496.99370419682</v>
      </c>
      <c r="BF109" s="712">
        <f t="shared" si="85"/>
        <v>375604.71462638624</v>
      </c>
      <c r="BH109" s="590">
        <f t="shared" si="76"/>
        <v>506</v>
      </c>
    </row>
    <row r="110" spans="1:60" ht="14.5">
      <c r="A110" s="590">
        <f t="shared" ref="A110:A112" si="98">+A109+1</f>
        <v>507</v>
      </c>
      <c r="B110" s="622" t="s">
        <v>1853</v>
      </c>
      <c r="F110" s="715" t="s">
        <v>1766</v>
      </c>
      <c r="H110" s="723"/>
      <c r="J110" s="620">
        <v>9122.9710945983843</v>
      </c>
      <c r="K110" s="606"/>
      <c r="L110" s="620">
        <v>5504.3275068897183</v>
      </c>
      <c r="M110" s="606"/>
      <c r="N110" s="620">
        <v>3618.643587708666</v>
      </c>
      <c r="P110" s="713" t="s">
        <v>1762</v>
      </c>
      <c r="R110" s="606">
        <v>0</v>
      </c>
      <c r="S110" s="606"/>
      <c r="T110" s="606">
        <v>0</v>
      </c>
      <c r="U110" s="606"/>
      <c r="V110" s="606">
        <f t="shared" ref="V110:V111" si="99">N110</f>
        <v>3618.643587708666</v>
      </c>
      <c r="W110" s="606"/>
      <c r="X110" s="606">
        <f t="shared" ref="X110:X111" si="100">SUM(R110:V110)</f>
        <v>3618.643587708666</v>
      </c>
      <c r="Y110" s="606"/>
      <c r="Z110" s="607" t="s">
        <v>1771</v>
      </c>
      <c r="AA110" s="606"/>
      <c r="AB110" s="606">
        <v>0</v>
      </c>
      <c r="AC110" s="606"/>
      <c r="AD110" s="606">
        <v>0</v>
      </c>
      <c r="AE110" s="606"/>
      <c r="AF110" s="620">
        <v>2927.1982168093082</v>
      </c>
      <c r="AG110" s="606"/>
      <c r="AH110" s="607" t="s">
        <v>1772</v>
      </c>
      <c r="AI110" s="606"/>
      <c r="AJ110" s="605">
        <f t="shared" si="78"/>
        <v>0</v>
      </c>
      <c r="AK110" s="606"/>
      <c r="AL110" s="605">
        <f t="shared" si="79"/>
        <v>0</v>
      </c>
      <c r="AM110" s="606"/>
      <c r="AN110" s="605">
        <f t="shared" si="80"/>
        <v>691.44537089935784</v>
      </c>
      <c r="AO110" s="606"/>
      <c r="AP110" s="606">
        <f t="shared" si="81"/>
        <v>691.44537089935784</v>
      </c>
      <c r="AR110" s="606">
        <v>0</v>
      </c>
      <c r="AS110" s="606"/>
      <c r="AT110" s="606">
        <v>0</v>
      </c>
      <c r="AU110" s="606"/>
      <c r="AV110" s="620">
        <v>109.41832741987828</v>
      </c>
      <c r="AW110" s="606"/>
      <c r="AX110" s="605">
        <f t="shared" si="82"/>
        <v>0</v>
      </c>
      <c r="AY110" s="606"/>
      <c r="AZ110" s="605">
        <f t="shared" si="83"/>
        <v>0</v>
      </c>
      <c r="BA110" s="606"/>
      <c r="BB110" s="605">
        <f t="shared" si="84"/>
        <v>582.02704347947952</v>
      </c>
      <c r="BC110" s="606"/>
      <c r="BD110" s="606">
        <f t="shared" si="97"/>
        <v>582.02704347947952</v>
      </c>
      <c r="BF110" s="712">
        <f t="shared" si="85"/>
        <v>808.18680672663379</v>
      </c>
      <c r="BH110" s="590">
        <f t="shared" si="76"/>
        <v>507</v>
      </c>
    </row>
    <row r="111" spans="1:60" ht="14.5">
      <c r="A111" s="590">
        <f t="shared" si="98"/>
        <v>508</v>
      </c>
      <c r="B111" s="622" t="s">
        <v>1854</v>
      </c>
      <c r="F111" s="715" t="s">
        <v>1766</v>
      </c>
      <c r="H111" s="723"/>
      <c r="J111" s="620">
        <v>-5726065.1655639941</v>
      </c>
      <c r="K111" s="606"/>
      <c r="L111" s="620">
        <v>-3437649.0479296735</v>
      </c>
      <c r="M111" s="606"/>
      <c r="N111" s="620">
        <v>-2288416.1176343206</v>
      </c>
      <c r="P111" s="713" t="s">
        <v>1762</v>
      </c>
      <c r="R111" s="606">
        <v>0</v>
      </c>
      <c r="S111" s="606"/>
      <c r="T111" s="606">
        <v>0</v>
      </c>
      <c r="U111" s="606"/>
      <c r="V111" s="606">
        <f t="shared" si="99"/>
        <v>-2288416.1176343206</v>
      </c>
      <c r="W111" s="606"/>
      <c r="X111" s="606">
        <f t="shared" si="100"/>
        <v>-2288416.1176343206</v>
      </c>
      <c r="Y111" s="606"/>
      <c r="Z111" s="607" t="s">
        <v>1771</v>
      </c>
      <c r="AA111" s="606"/>
      <c r="AB111" s="606">
        <v>0</v>
      </c>
      <c r="AC111" s="606"/>
      <c r="AD111" s="606">
        <v>0</v>
      </c>
      <c r="AE111" s="606"/>
      <c r="AF111" s="620">
        <v>-1851148.7568463362</v>
      </c>
      <c r="AG111" s="606"/>
      <c r="AH111" s="607" t="s">
        <v>1772</v>
      </c>
      <c r="AI111" s="606"/>
      <c r="AJ111" s="605">
        <f t="shared" si="78"/>
        <v>0</v>
      </c>
      <c r="AK111" s="606"/>
      <c r="AL111" s="605">
        <f t="shared" si="79"/>
        <v>0</v>
      </c>
      <c r="AM111" s="606"/>
      <c r="AN111" s="605">
        <f t="shared" si="80"/>
        <v>-437267.36078798445</v>
      </c>
      <c r="AO111" s="606"/>
      <c r="AP111" s="606">
        <f t="shared" si="81"/>
        <v>-437267.36078798445</v>
      </c>
      <c r="AR111" s="606">
        <v>0</v>
      </c>
      <c r="AS111" s="606"/>
      <c r="AT111" s="606">
        <v>0</v>
      </c>
      <c r="AU111" s="606"/>
      <c r="AV111" s="620">
        <v>-69195.724299222711</v>
      </c>
      <c r="AW111" s="606"/>
      <c r="AX111" s="605">
        <f t="shared" si="82"/>
        <v>0</v>
      </c>
      <c r="AY111" s="606"/>
      <c r="AZ111" s="605">
        <f t="shared" si="83"/>
        <v>0</v>
      </c>
      <c r="BA111" s="606"/>
      <c r="BB111" s="605">
        <f t="shared" si="84"/>
        <v>-368071.63648876175</v>
      </c>
      <c r="BC111" s="606"/>
      <c r="BD111" s="606">
        <f t="shared" si="97"/>
        <v>-368071.63648876175</v>
      </c>
      <c r="BF111" s="712">
        <f t="shared" si="85"/>
        <v>-511094.19033548154</v>
      </c>
      <c r="BH111" s="590">
        <f t="shared" si="76"/>
        <v>508</v>
      </c>
    </row>
    <row r="112" spans="1:60" ht="14.5">
      <c r="A112" s="590">
        <f t="shared" si="98"/>
        <v>509</v>
      </c>
      <c r="B112" s="622"/>
      <c r="F112" s="715"/>
      <c r="H112" s="723"/>
      <c r="J112" s="620"/>
      <c r="K112" s="606"/>
      <c r="L112" s="620"/>
      <c r="M112" s="606"/>
      <c r="N112" s="620"/>
      <c r="R112" s="606">
        <v>0</v>
      </c>
      <c r="S112" s="606"/>
      <c r="T112" s="606">
        <v>0</v>
      </c>
      <c r="U112" s="606"/>
      <c r="V112" s="606">
        <f t="shared" ref="V112:V113" si="101">N112</f>
        <v>0</v>
      </c>
      <c r="W112" s="606"/>
      <c r="X112" s="606">
        <f t="shared" ref="X112:X113" si="102">SUM(R112:V112)</f>
        <v>0</v>
      </c>
      <c r="Y112" s="606"/>
      <c r="Z112" s="712"/>
      <c r="AA112" s="606"/>
      <c r="AB112" s="606">
        <v>0</v>
      </c>
      <c r="AC112" s="606"/>
      <c r="AD112" s="606">
        <v>0</v>
      </c>
      <c r="AE112" s="606"/>
      <c r="AF112" s="620">
        <v>0</v>
      </c>
      <c r="AG112" s="606"/>
      <c r="AH112" s="712"/>
      <c r="AI112" s="606"/>
      <c r="AJ112" s="605">
        <f t="shared" si="78"/>
        <v>0</v>
      </c>
      <c r="AK112" s="606"/>
      <c r="AL112" s="605">
        <f t="shared" si="79"/>
        <v>0</v>
      </c>
      <c r="AM112" s="606"/>
      <c r="AN112" s="605">
        <f t="shared" si="80"/>
        <v>0</v>
      </c>
      <c r="AO112" s="606"/>
      <c r="AP112" s="606">
        <f t="shared" si="81"/>
        <v>0</v>
      </c>
      <c r="AR112" s="606">
        <v>0</v>
      </c>
      <c r="AS112" s="606"/>
      <c r="AT112" s="606">
        <v>0</v>
      </c>
      <c r="AU112" s="606"/>
      <c r="AV112" s="620"/>
      <c r="AW112" s="606"/>
      <c r="AX112" s="605">
        <f t="shared" si="82"/>
        <v>0</v>
      </c>
      <c r="AY112" s="606"/>
      <c r="AZ112" s="605">
        <f t="shared" si="83"/>
        <v>0</v>
      </c>
      <c r="BA112" s="606"/>
      <c r="BB112" s="605">
        <f t="shared" si="84"/>
        <v>0</v>
      </c>
      <c r="BC112" s="606"/>
      <c r="BD112" s="606">
        <f t="shared" si="97"/>
        <v>0</v>
      </c>
      <c r="BF112" s="712"/>
      <c r="BH112" s="590">
        <f t="shared" si="76"/>
        <v>509</v>
      </c>
    </row>
    <row r="113" spans="1:60" ht="14.5">
      <c r="A113" s="590">
        <f>+A110+1</f>
        <v>508</v>
      </c>
      <c r="B113" s="622"/>
      <c r="F113" s="715"/>
      <c r="H113" s="723"/>
      <c r="J113" s="620"/>
      <c r="K113" s="606"/>
      <c r="L113" s="620"/>
      <c r="M113" s="606"/>
      <c r="N113" s="620"/>
      <c r="R113" s="606">
        <v>0</v>
      </c>
      <c r="S113" s="606"/>
      <c r="T113" s="606">
        <v>0</v>
      </c>
      <c r="U113" s="606"/>
      <c r="V113" s="606">
        <f t="shared" si="101"/>
        <v>0</v>
      </c>
      <c r="W113" s="606"/>
      <c r="X113" s="606">
        <f t="shared" si="102"/>
        <v>0</v>
      </c>
      <c r="Y113" s="606"/>
      <c r="Z113" s="712"/>
      <c r="AA113" s="606"/>
      <c r="AB113" s="606">
        <v>0</v>
      </c>
      <c r="AC113" s="606"/>
      <c r="AD113" s="606">
        <v>0</v>
      </c>
      <c r="AE113" s="606"/>
      <c r="AF113" s="620">
        <v>0</v>
      </c>
      <c r="AG113" s="606"/>
      <c r="AH113" s="712"/>
      <c r="AI113" s="606"/>
      <c r="AJ113" s="605">
        <f t="shared" si="78"/>
        <v>0</v>
      </c>
      <c r="AK113" s="606"/>
      <c r="AL113" s="605">
        <f t="shared" si="79"/>
        <v>0</v>
      </c>
      <c r="AM113" s="606"/>
      <c r="AN113" s="605">
        <f t="shared" si="80"/>
        <v>0</v>
      </c>
      <c r="AO113" s="606"/>
      <c r="AP113" s="606">
        <f t="shared" si="81"/>
        <v>0</v>
      </c>
      <c r="AR113" s="606">
        <v>0</v>
      </c>
      <c r="AS113" s="606"/>
      <c r="AT113" s="606">
        <v>0</v>
      </c>
      <c r="AU113" s="606"/>
      <c r="AV113" s="620"/>
      <c r="AW113" s="606"/>
      <c r="AX113" s="605">
        <f t="shared" si="82"/>
        <v>0</v>
      </c>
      <c r="AY113" s="606"/>
      <c r="AZ113" s="605">
        <f t="shared" si="83"/>
        <v>0</v>
      </c>
      <c r="BA113" s="606"/>
      <c r="BB113" s="605">
        <f t="shared" si="84"/>
        <v>0</v>
      </c>
      <c r="BC113" s="606"/>
      <c r="BD113" s="606">
        <f t="shared" si="97"/>
        <v>0</v>
      </c>
      <c r="BF113" s="712"/>
      <c r="BH113" s="590">
        <f t="shared" si="76"/>
        <v>508</v>
      </c>
    </row>
    <row r="114" spans="1:60" ht="14.5">
      <c r="A114" s="590"/>
      <c r="B114" s="595"/>
      <c r="F114" s="715"/>
      <c r="H114" s="712"/>
      <c r="J114" s="606"/>
      <c r="K114" s="606"/>
      <c r="L114" s="606"/>
      <c r="M114" s="606"/>
      <c r="N114" s="606"/>
      <c r="R114" s="606"/>
      <c r="S114" s="606"/>
      <c r="T114" s="606"/>
      <c r="U114" s="606"/>
      <c r="V114" s="606"/>
      <c r="W114" s="606"/>
      <c r="X114" s="606"/>
      <c r="Y114" s="606"/>
      <c r="Z114" s="712"/>
      <c r="AA114" s="606"/>
      <c r="AB114" s="606"/>
      <c r="AC114" s="606"/>
      <c r="AD114" s="606"/>
      <c r="AE114" s="606"/>
      <c r="AF114" s="606"/>
      <c r="AG114" s="606"/>
      <c r="AH114" s="712"/>
      <c r="AI114" s="606"/>
      <c r="AJ114" s="606"/>
      <c r="AK114" s="606"/>
      <c r="AL114" s="606"/>
      <c r="AM114" s="606"/>
      <c r="AN114" s="606"/>
      <c r="AO114" s="606"/>
      <c r="AP114" s="606"/>
      <c r="AR114" s="606"/>
      <c r="AS114" s="606"/>
      <c r="AT114" s="606"/>
      <c r="AU114" s="606"/>
      <c r="AV114" s="606"/>
      <c r="AW114" s="606"/>
      <c r="AX114" s="606"/>
      <c r="AY114" s="606"/>
      <c r="AZ114" s="606"/>
      <c r="BA114" s="606"/>
      <c r="BB114" s="606"/>
      <c r="BC114" s="606"/>
      <c r="BD114" s="606"/>
      <c r="BF114" s="712"/>
      <c r="BH114" s="590"/>
    </row>
    <row r="115" spans="1:60" ht="14.5">
      <c r="A115" s="323" t="s">
        <v>124</v>
      </c>
      <c r="F115" s="715"/>
      <c r="H115" s="705"/>
      <c r="BH115" s="616" t="s">
        <v>124</v>
      </c>
    </row>
    <row r="116" spans="1:60" ht="14.5">
      <c r="A116" s="590">
        <v>600</v>
      </c>
      <c r="B116" s="588" t="s">
        <v>1571</v>
      </c>
      <c r="F116" s="715"/>
      <c r="H116" s="721">
        <f>ROUND(SUM(H117:H121),0)</f>
        <v>0</v>
      </c>
      <c r="J116" s="609">
        <f>ROUND(SUM(J117:J121),0)</f>
        <v>336430551</v>
      </c>
      <c r="K116" s="606"/>
      <c r="L116" s="609">
        <f>ROUND(SUM(L117:L121),0)</f>
        <v>201858330</v>
      </c>
      <c r="M116" s="606"/>
      <c r="N116" s="609">
        <f>ROUND(SUM(N117:N121),0)</f>
        <v>134572220</v>
      </c>
      <c r="O116" s="590"/>
      <c r="P116" s="590"/>
      <c r="Q116" s="590"/>
      <c r="R116" s="609">
        <f>ROUND(SUM(R117:R121),0)</f>
        <v>134572220</v>
      </c>
      <c r="S116" s="606"/>
      <c r="T116" s="609">
        <f>ROUND(SUM(T117:T121),0)</f>
        <v>0</v>
      </c>
      <c r="U116" s="606"/>
      <c r="V116" s="609">
        <f>ROUND(SUM(V117:V121),0)</f>
        <v>0</v>
      </c>
      <c r="W116" s="606"/>
      <c r="X116" s="609">
        <f>ROUND(SUM(X117:X121),0)</f>
        <v>134572220</v>
      </c>
      <c r="Y116" s="606"/>
      <c r="Z116" s="712"/>
      <c r="AA116" s="606"/>
      <c r="AB116" s="609">
        <f>SUM(AB117:AB121)</f>
        <v>8829126.3361763302</v>
      </c>
      <c r="AC116" s="606"/>
      <c r="AD116" s="609">
        <f>SUM(AD117:AD121)</f>
        <v>0</v>
      </c>
      <c r="AE116" s="606"/>
      <c r="AF116" s="609">
        <f>SUM(AF117:AF121)</f>
        <v>0</v>
      </c>
      <c r="AG116" s="606"/>
      <c r="AH116" s="712"/>
      <c r="AI116" s="606"/>
      <c r="AJ116" s="609">
        <f>SUM(AJ117:AJ121)</f>
        <v>125743093.86985767</v>
      </c>
      <c r="AK116" s="606"/>
      <c r="AL116" s="609">
        <f>SUM(AL117:AL121)</f>
        <v>0</v>
      </c>
      <c r="AM116" s="606"/>
      <c r="AN116" s="609">
        <f>SUM(AN117:AN121)</f>
        <v>0</v>
      </c>
      <c r="AO116" s="606"/>
      <c r="AP116" s="609">
        <f>SUM(AP117:AP121)</f>
        <v>125743093.86985767</v>
      </c>
      <c r="AR116" s="609">
        <f>SUM(AR117:AR121)</f>
        <v>1851828.7079636212</v>
      </c>
      <c r="AS116" s="606"/>
      <c r="AT116" s="609">
        <f>SUM(AT117:AT121)</f>
        <v>0</v>
      </c>
      <c r="AU116" s="606"/>
      <c r="AV116" s="609">
        <f>SUM(AV117:AV121)</f>
        <v>0</v>
      </c>
      <c r="AW116" s="606"/>
      <c r="AX116" s="609">
        <f>SUM(AX117:AX121)</f>
        <v>123891265.16189405</v>
      </c>
      <c r="AY116" s="606"/>
      <c r="AZ116" s="609">
        <f>SUM(AZ117:AZ121)</f>
        <v>0</v>
      </c>
      <c r="BA116" s="606"/>
      <c r="BB116" s="609">
        <f>SUM(BB117:BB121)</f>
        <v>0</v>
      </c>
      <c r="BC116" s="606"/>
      <c r="BD116" s="609">
        <f>SUM(BD117:BD121)</f>
        <v>123891265.16189405</v>
      </c>
      <c r="BF116" s="721">
        <f>ROUND(SUM(BF117:BF121),0)</f>
        <v>172032017</v>
      </c>
      <c r="BH116" s="590">
        <f t="shared" ref="BH116:BH121" si="103">A116</f>
        <v>600</v>
      </c>
    </row>
    <row r="117" spans="1:60" ht="14.5">
      <c r="A117" s="590">
        <f t="shared" ref="A117:A120" si="104">A116+1</f>
        <v>601</v>
      </c>
      <c r="B117" s="634" t="s">
        <v>1855</v>
      </c>
      <c r="F117" s="715" t="s">
        <v>1768</v>
      </c>
      <c r="H117" s="723"/>
      <c r="J117" s="620">
        <v>336430550.515086</v>
      </c>
      <c r="K117" s="606"/>
      <c r="L117" s="620">
        <v>201858330.30905101</v>
      </c>
      <c r="M117" s="606"/>
      <c r="N117" s="620">
        <v>134572220.206034</v>
      </c>
      <c r="P117" s="713" t="s">
        <v>1763</v>
      </c>
      <c r="R117" s="606">
        <f>+N117</f>
        <v>134572220.206034</v>
      </c>
      <c r="S117" s="606"/>
      <c r="T117" s="606">
        <v>0</v>
      </c>
      <c r="U117" s="606"/>
      <c r="V117" s="606">
        <v>0</v>
      </c>
      <c r="W117" s="606"/>
      <c r="X117" s="606">
        <f>SUM(R117:V117)</f>
        <v>134572220.206034</v>
      </c>
      <c r="Y117" s="606"/>
      <c r="Z117" s="607" t="s">
        <v>1560</v>
      </c>
      <c r="AA117" s="606"/>
      <c r="AB117" s="620">
        <v>8829126.3361763302</v>
      </c>
      <c r="AC117" s="606"/>
      <c r="AD117" s="606">
        <v>0</v>
      </c>
      <c r="AE117" s="606"/>
      <c r="AF117" s="606">
        <v>0</v>
      </c>
      <c r="AG117" s="606"/>
      <c r="AH117" s="607" t="s">
        <v>1773</v>
      </c>
      <c r="AI117" s="606"/>
      <c r="AJ117" s="605">
        <f t="shared" ref="AJ117:AJ122" si="105">+R117-AB117</f>
        <v>125743093.86985767</v>
      </c>
      <c r="AK117" s="606"/>
      <c r="AL117" s="605">
        <f t="shared" ref="AL117:AL122" si="106">+T117-AD117</f>
        <v>0</v>
      </c>
      <c r="AM117" s="606"/>
      <c r="AN117" s="605">
        <f t="shared" ref="AN117:AN122" si="107">+V117-AF117</f>
        <v>0</v>
      </c>
      <c r="AO117" s="606"/>
      <c r="AP117" s="606">
        <f t="shared" ref="AP117:AP122" si="108">SUM(AJ117:AN117)</f>
        <v>125743093.86985767</v>
      </c>
      <c r="AR117" s="620">
        <v>1851828.7079636212</v>
      </c>
      <c r="AS117" s="606"/>
      <c r="AT117" s="606">
        <v>0</v>
      </c>
      <c r="AU117" s="606"/>
      <c r="AV117" s="606">
        <v>0</v>
      </c>
      <c r="AW117" s="606"/>
      <c r="AX117" s="605">
        <f>+AJ117-AR117</f>
        <v>123891265.16189405</v>
      </c>
      <c r="AY117" s="606"/>
      <c r="AZ117" s="605">
        <f t="shared" ref="AZ117:AZ122" si="109">+AL117-AT117</f>
        <v>0</v>
      </c>
      <c r="BA117" s="606"/>
      <c r="BB117" s="605">
        <f t="shared" ref="BB117:BB122" si="110">+AN117-AV117</f>
        <v>0</v>
      </c>
      <c r="BC117" s="606"/>
      <c r="BD117" s="606">
        <f>SUM(AX117:BB117)</f>
        <v>123891265.16189405</v>
      </c>
      <c r="BF117" s="712">
        <f t="shared" ref="BF117:BF121" si="111">+BD117*$BF$9</f>
        <v>172032016.54330686</v>
      </c>
      <c r="BH117" s="590">
        <f t="shared" si="103"/>
        <v>601</v>
      </c>
    </row>
    <row r="118" spans="1:60" ht="14.5">
      <c r="A118" s="590">
        <f t="shared" si="104"/>
        <v>602</v>
      </c>
      <c r="B118" s="634"/>
      <c r="F118" s="715" t="s">
        <v>1768</v>
      </c>
      <c r="H118" s="723"/>
      <c r="J118" s="620"/>
      <c r="K118" s="606"/>
      <c r="L118" s="620"/>
      <c r="M118" s="606"/>
      <c r="N118" s="620"/>
      <c r="P118" s="713" t="s">
        <v>1763</v>
      </c>
      <c r="R118" s="606">
        <f>N118</f>
        <v>0</v>
      </c>
      <c r="S118" s="606"/>
      <c r="T118" s="606">
        <v>0</v>
      </c>
      <c r="U118" s="606"/>
      <c r="V118" s="606">
        <v>0</v>
      </c>
      <c r="W118" s="606"/>
      <c r="X118" s="606">
        <f t="shared" ref="X118:X121" si="112">SUM(R118:V118)</f>
        <v>0</v>
      </c>
      <c r="Y118" s="606"/>
      <c r="Z118" s="607" t="s">
        <v>1560</v>
      </c>
      <c r="AA118" s="606"/>
      <c r="AB118" s="620"/>
      <c r="AC118" s="606"/>
      <c r="AD118" s="606">
        <v>0</v>
      </c>
      <c r="AE118" s="606"/>
      <c r="AF118" s="606">
        <v>0</v>
      </c>
      <c r="AG118" s="606"/>
      <c r="AH118" s="607" t="s">
        <v>1773</v>
      </c>
      <c r="AI118" s="606"/>
      <c r="AJ118" s="605">
        <f t="shared" si="105"/>
        <v>0</v>
      </c>
      <c r="AK118" s="606"/>
      <c r="AL118" s="605">
        <f t="shared" si="106"/>
        <v>0</v>
      </c>
      <c r="AM118" s="606"/>
      <c r="AN118" s="605">
        <f t="shared" si="107"/>
        <v>0</v>
      </c>
      <c r="AO118" s="606"/>
      <c r="AP118" s="606">
        <f t="shared" si="108"/>
        <v>0</v>
      </c>
      <c r="AR118" s="620"/>
      <c r="AS118" s="606"/>
      <c r="AT118" s="606">
        <v>0</v>
      </c>
      <c r="AU118" s="606"/>
      <c r="AV118" s="606">
        <v>0</v>
      </c>
      <c r="AW118" s="606"/>
      <c r="AX118" s="605">
        <f t="shared" ref="AX118:AX122" si="113">+AJ118-AR118</f>
        <v>0</v>
      </c>
      <c r="AY118" s="606"/>
      <c r="AZ118" s="605">
        <f t="shared" si="109"/>
        <v>0</v>
      </c>
      <c r="BA118" s="606"/>
      <c r="BB118" s="605">
        <f t="shared" si="110"/>
        <v>0</v>
      </c>
      <c r="BC118" s="606"/>
      <c r="BD118" s="606">
        <f t="shared" ref="BD118:BD121" si="114">SUM(AX118:BB118)</f>
        <v>0</v>
      </c>
      <c r="BF118" s="712">
        <f t="shared" si="111"/>
        <v>0</v>
      </c>
      <c r="BH118" s="590">
        <f t="shared" si="103"/>
        <v>602</v>
      </c>
    </row>
    <row r="119" spans="1:60" ht="14.5">
      <c r="A119" s="590">
        <f t="shared" si="104"/>
        <v>603</v>
      </c>
      <c r="B119" s="621"/>
      <c r="F119" s="715"/>
      <c r="H119" s="723"/>
      <c r="J119" s="620"/>
      <c r="K119" s="606"/>
      <c r="L119" s="620"/>
      <c r="M119" s="606"/>
      <c r="N119" s="620"/>
      <c r="R119" s="606">
        <v>0</v>
      </c>
      <c r="S119" s="606"/>
      <c r="T119" s="606">
        <v>0</v>
      </c>
      <c r="U119" s="606"/>
      <c r="V119" s="606">
        <v>0</v>
      </c>
      <c r="W119" s="606"/>
      <c r="X119" s="606">
        <f t="shared" si="112"/>
        <v>0</v>
      </c>
      <c r="Y119" s="606"/>
      <c r="Z119" s="712"/>
      <c r="AA119" s="606"/>
      <c r="AB119" s="620"/>
      <c r="AC119" s="606"/>
      <c r="AD119" s="606">
        <v>0</v>
      </c>
      <c r="AE119" s="606"/>
      <c r="AF119" s="606">
        <v>0</v>
      </c>
      <c r="AG119" s="606"/>
      <c r="AH119" s="712"/>
      <c r="AI119" s="606"/>
      <c r="AJ119" s="605">
        <f t="shared" si="105"/>
        <v>0</v>
      </c>
      <c r="AK119" s="606"/>
      <c r="AL119" s="605">
        <f t="shared" si="106"/>
        <v>0</v>
      </c>
      <c r="AM119" s="606"/>
      <c r="AN119" s="605">
        <f t="shared" si="107"/>
        <v>0</v>
      </c>
      <c r="AO119" s="606"/>
      <c r="AP119" s="606">
        <f t="shared" si="108"/>
        <v>0</v>
      </c>
      <c r="AR119" s="620"/>
      <c r="AS119" s="606"/>
      <c r="AT119" s="606">
        <v>0</v>
      </c>
      <c r="AU119" s="606"/>
      <c r="AV119" s="606">
        <v>0</v>
      </c>
      <c r="AW119" s="606"/>
      <c r="AX119" s="605">
        <f t="shared" si="113"/>
        <v>0</v>
      </c>
      <c r="AY119" s="606"/>
      <c r="AZ119" s="605">
        <f t="shared" si="109"/>
        <v>0</v>
      </c>
      <c r="BA119" s="606"/>
      <c r="BB119" s="605">
        <f t="shared" si="110"/>
        <v>0</v>
      </c>
      <c r="BC119" s="606"/>
      <c r="BD119" s="606">
        <f t="shared" si="114"/>
        <v>0</v>
      </c>
      <c r="BF119" s="712">
        <f t="shared" si="111"/>
        <v>0</v>
      </c>
      <c r="BH119" s="590">
        <f t="shared" si="103"/>
        <v>603</v>
      </c>
    </row>
    <row r="120" spans="1:60" ht="14.5">
      <c r="A120" s="590">
        <f t="shared" si="104"/>
        <v>604</v>
      </c>
      <c r="B120" s="621"/>
      <c r="H120" s="723"/>
      <c r="J120" s="620"/>
      <c r="K120" s="606"/>
      <c r="L120" s="620"/>
      <c r="M120" s="606"/>
      <c r="N120" s="620"/>
      <c r="R120" s="606">
        <v>0</v>
      </c>
      <c r="S120" s="606"/>
      <c r="T120" s="606">
        <v>0</v>
      </c>
      <c r="U120" s="606"/>
      <c r="V120" s="606">
        <v>0</v>
      </c>
      <c r="W120" s="606"/>
      <c r="X120" s="606">
        <f t="shared" si="112"/>
        <v>0</v>
      </c>
      <c r="Y120" s="606"/>
      <c r="Z120" s="712"/>
      <c r="AA120" s="606"/>
      <c r="AB120" s="620"/>
      <c r="AC120" s="606"/>
      <c r="AD120" s="606">
        <v>0</v>
      </c>
      <c r="AE120" s="606"/>
      <c r="AF120" s="606">
        <v>0</v>
      </c>
      <c r="AG120" s="606"/>
      <c r="AH120" s="712"/>
      <c r="AI120" s="606"/>
      <c r="AJ120" s="605">
        <f t="shared" si="105"/>
        <v>0</v>
      </c>
      <c r="AK120" s="606"/>
      <c r="AL120" s="605">
        <f t="shared" si="106"/>
        <v>0</v>
      </c>
      <c r="AM120" s="606"/>
      <c r="AN120" s="605">
        <f t="shared" si="107"/>
        <v>0</v>
      </c>
      <c r="AO120" s="606"/>
      <c r="AP120" s="606">
        <f t="shared" si="108"/>
        <v>0</v>
      </c>
      <c r="AR120" s="620"/>
      <c r="AS120" s="606"/>
      <c r="AT120" s="606">
        <v>0</v>
      </c>
      <c r="AU120" s="606"/>
      <c r="AV120" s="606">
        <v>0</v>
      </c>
      <c r="AW120" s="606"/>
      <c r="AX120" s="605">
        <f t="shared" si="113"/>
        <v>0</v>
      </c>
      <c r="AY120" s="606"/>
      <c r="AZ120" s="605">
        <f t="shared" si="109"/>
        <v>0</v>
      </c>
      <c r="BA120" s="606"/>
      <c r="BB120" s="605">
        <f t="shared" si="110"/>
        <v>0</v>
      </c>
      <c r="BC120" s="606"/>
      <c r="BD120" s="606">
        <f t="shared" si="114"/>
        <v>0</v>
      </c>
      <c r="BF120" s="712">
        <f t="shared" si="111"/>
        <v>0</v>
      </c>
      <c r="BH120" s="590">
        <f t="shared" si="103"/>
        <v>604</v>
      </c>
    </row>
    <row r="121" spans="1:60" ht="14.5">
      <c r="A121" s="590">
        <f>+A120+1</f>
        <v>605</v>
      </c>
      <c r="B121" s="621"/>
      <c r="H121" s="723"/>
      <c r="J121" s="620"/>
      <c r="K121" s="606"/>
      <c r="L121" s="620"/>
      <c r="M121" s="606"/>
      <c r="N121" s="620"/>
      <c r="R121" s="606">
        <v>0</v>
      </c>
      <c r="S121" s="606"/>
      <c r="T121" s="606">
        <v>0</v>
      </c>
      <c r="U121" s="606"/>
      <c r="V121" s="606">
        <v>0</v>
      </c>
      <c r="W121" s="606"/>
      <c r="X121" s="606">
        <f t="shared" si="112"/>
        <v>0</v>
      </c>
      <c r="Y121" s="606"/>
      <c r="Z121" s="712"/>
      <c r="AA121" s="606"/>
      <c r="AB121" s="620"/>
      <c r="AC121" s="606"/>
      <c r="AD121" s="606">
        <v>0</v>
      </c>
      <c r="AE121" s="606"/>
      <c r="AF121" s="606">
        <v>0</v>
      </c>
      <c r="AG121" s="606"/>
      <c r="AH121" s="712"/>
      <c r="AI121" s="606"/>
      <c r="AJ121" s="605">
        <f t="shared" si="105"/>
        <v>0</v>
      </c>
      <c r="AK121" s="606"/>
      <c r="AL121" s="605">
        <f t="shared" si="106"/>
        <v>0</v>
      </c>
      <c r="AM121" s="606"/>
      <c r="AN121" s="605">
        <f t="shared" si="107"/>
        <v>0</v>
      </c>
      <c r="AO121" s="606"/>
      <c r="AP121" s="606">
        <f t="shared" si="108"/>
        <v>0</v>
      </c>
      <c r="AR121" s="620"/>
      <c r="AS121" s="606"/>
      <c r="AT121" s="606">
        <v>0</v>
      </c>
      <c r="AU121" s="606"/>
      <c r="AV121" s="606">
        <v>0</v>
      </c>
      <c r="AW121" s="606"/>
      <c r="AX121" s="605">
        <f t="shared" si="113"/>
        <v>0</v>
      </c>
      <c r="AY121" s="606"/>
      <c r="AZ121" s="605">
        <f t="shared" si="109"/>
        <v>0</v>
      </c>
      <c r="BA121" s="606"/>
      <c r="BB121" s="605">
        <f t="shared" si="110"/>
        <v>0</v>
      </c>
      <c r="BC121" s="606"/>
      <c r="BD121" s="606">
        <f t="shared" si="114"/>
        <v>0</v>
      </c>
      <c r="BF121" s="712">
        <f t="shared" si="111"/>
        <v>0</v>
      </c>
      <c r="BH121" s="590">
        <f t="shared" si="103"/>
        <v>605</v>
      </c>
    </row>
    <row r="122" spans="1:60" ht="14.5">
      <c r="A122" s="590"/>
      <c r="B122" s="595"/>
      <c r="H122" s="712"/>
      <c r="J122" s="606"/>
      <c r="K122" s="606"/>
      <c r="L122" s="606"/>
      <c r="M122" s="606"/>
      <c r="N122" s="606"/>
      <c r="R122" s="606"/>
      <c r="S122" s="606"/>
      <c r="T122" s="606"/>
      <c r="U122" s="606"/>
      <c r="V122" s="606"/>
      <c r="W122" s="606"/>
      <c r="X122" s="606"/>
      <c r="Y122" s="606"/>
      <c r="Z122" s="712"/>
      <c r="AA122" s="606"/>
      <c r="AB122" s="606"/>
      <c r="AC122" s="606"/>
      <c r="AD122" s="606"/>
      <c r="AE122" s="606"/>
      <c r="AF122" s="606"/>
      <c r="AG122" s="606"/>
      <c r="AH122" s="712"/>
      <c r="AI122" s="606"/>
      <c r="AJ122" s="606">
        <f t="shared" si="105"/>
        <v>0</v>
      </c>
      <c r="AK122" s="606"/>
      <c r="AL122" s="606">
        <f t="shared" si="106"/>
        <v>0</v>
      </c>
      <c r="AM122" s="606"/>
      <c r="AN122" s="606">
        <f t="shared" si="107"/>
        <v>0</v>
      </c>
      <c r="AO122" s="606"/>
      <c r="AP122" s="606">
        <f t="shared" si="108"/>
        <v>0</v>
      </c>
      <c r="AR122" s="606"/>
      <c r="AS122" s="606"/>
      <c r="AT122" s="606"/>
      <c r="AU122" s="606"/>
      <c r="AV122" s="606"/>
      <c r="AW122" s="606"/>
      <c r="AX122" s="606">
        <f t="shared" si="113"/>
        <v>0</v>
      </c>
      <c r="AY122" s="606"/>
      <c r="AZ122" s="606">
        <f t="shared" si="109"/>
        <v>0</v>
      </c>
      <c r="BA122" s="606"/>
      <c r="BB122" s="606">
        <f t="shared" si="110"/>
        <v>0</v>
      </c>
      <c r="BC122" s="606"/>
      <c r="BD122" s="606"/>
      <c r="BF122" s="712"/>
      <c r="BH122" s="590"/>
    </row>
    <row r="123" spans="1:60" ht="14.5">
      <c r="A123" s="323" t="s">
        <v>124</v>
      </c>
      <c r="H123" s="705"/>
      <c r="BH123" s="616" t="s">
        <v>124</v>
      </c>
    </row>
    <row r="124" spans="1:60" ht="14.5">
      <c r="A124" s="590">
        <v>700</v>
      </c>
      <c r="B124" s="611" t="s">
        <v>1565</v>
      </c>
      <c r="H124" s="721">
        <f>SUM(H125:H129)</f>
        <v>0</v>
      </c>
      <c r="J124" s="609">
        <f>SUM(J125:J129)</f>
        <v>-22361973.694661092</v>
      </c>
      <c r="K124" s="606"/>
      <c r="L124" s="609">
        <f>SUM(L125:L129)</f>
        <v>-13417682.378914446</v>
      </c>
      <c r="M124" s="606"/>
      <c r="N124" s="609">
        <f>SUM(N125:N129)</f>
        <v>-8944291.3157466538</v>
      </c>
      <c r="O124" s="590"/>
      <c r="P124" s="590"/>
      <c r="Q124" s="590"/>
      <c r="R124" s="609">
        <f>SUM(R125:R129)</f>
        <v>0</v>
      </c>
      <c r="S124" s="606"/>
      <c r="T124" s="609">
        <f>SUM(T125:T129)</f>
        <v>-8944291.3157466538</v>
      </c>
      <c r="U124" s="606"/>
      <c r="V124" s="609">
        <f>SUM(V125:V129)</f>
        <v>0</v>
      </c>
      <c r="W124" s="606"/>
      <c r="X124" s="609">
        <f>SUM(X125:X129)</f>
        <v>-8944291.3157466538</v>
      </c>
      <c r="Y124" s="606"/>
      <c r="Z124" s="712"/>
      <c r="AA124" s="606"/>
      <c r="AB124" s="609">
        <f>SUM(AB125:AB129)</f>
        <v>0</v>
      </c>
      <c r="AC124" s="606"/>
      <c r="AD124" s="609">
        <f>SUM(AD125:AD129)</f>
        <v>-3067693.3140946515</v>
      </c>
      <c r="AE124" s="606"/>
      <c r="AF124" s="609">
        <f>SUM(AF125:AF129)</f>
        <v>0</v>
      </c>
      <c r="AG124" s="606"/>
      <c r="AH124" s="712"/>
      <c r="AI124" s="606"/>
      <c r="AJ124" s="609">
        <f>SUM(AJ125:AJ129)</f>
        <v>0</v>
      </c>
      <c r="AK124" s="606"/>
      <c r="AL124" s="609">
        <f>SUM(AL125:AL129)</f>
        <v>-5876598.0016520014</v>
      </c>
      <c r="AM124" s="606"/>
      <c r="AN124" s="609">
        <f>SUM(AN125:AN129)</f>
        <v>0</v>
      </c>
      <c r="AO124" s="606"/>
      <c r="AP124" s="609">
        <f>SUM(AP125:AP129)</f>
        <v>-5876598.0016520014</v>
      </c>
      <c r="AR124" s="609">
        <f>SUM(AR125:AR129)</f>
        <v>0</v>
      </c>
      <c r="AS124" s="606"/>
      <c r="AT124" s="609">
        <f>SUM(AT125:AT129)</f>
        <v>-929946.9651860015</v>
      </c>
      <c r="AU124" s="606"/>
      <c r="AV124" s="609">
        <f>SUM(AV125:AV129)</f>
        <v>0</v>
      </c>
      <c r="AW124" s="606"/>
      <c r="AX124" s="609">
        <f>SUM(AX125:AX129)</f>
        <v>0</v>
      </c>
      <c r="AY124" s="606"/>
      <c r="AZ124" s="609">
        <f>SUM(AZ125:AZ129)</f>
        <v>-4946651.0364659987</v>
      </c>
      <c r="BA124" s="606"/>
      <c r="BB124" s="609">
        <f>SUM(BB125:BB129)</f>
        <v>0</v>
      </c>
      <c r="BC124" s="606"/>
      <c r="BD124" s="609">
        <f>SUM(BD125:BD129)</f>
        <v>-4946651.0364659987</v>
      </c>
      <c r="BF124" s="721">
        <f>SUM(BF125:BF129)</f>
        <v>-12419797.87346584</v>
      </c>
      <c r="BH124" s="590">
        <f t="shared" ref="BH124:BH129" si="115">A124</f>
        <v>700</v>
      </c>
    </row>
    <row r="125" spans="1:60" ht="14.5">
      <c r="A125" s="590">
        <f t="shared" ref="A125:A128" si="116">A124+1</f>
        <v>701</v>
      </c>
      <c r="B125" s="622" t="s">
        <v>1934</v>
      </c>
      <c r="H125" s="723"/>
      <c r="J125" s="620">
        <v>-29456149.263061095</v>
      </c>
      <c r="K125" s="606"/>
      <c r="L125" s="620">
        <v>-17673689.602903582</v>
      </c>
      <c r="M125" s="606"/>
      <c r="N125" s="620">
        <v>-11782459.660157517</v>
      </c>
      <c r="R125" s="606">
        <v>0</v>
      </c>
      <c r="S125" s="606"/>
      <c r="T125" s="606">
        <f>N125</f>
        <v>-11782459.660157517</v>
      </c>
      <c r="U125" s="606"/>
      <c r="V125" s="606">
        <v>0</v>
      </c>
      <c r="W125" s="606"/>
      <c r="X125" s="606">
        <f>SUM(R125:V125)</f>
        <v>-11782459.660157517</v>
      </c>
      <c r="Y125" s="606"/>
      <c r="Z125" s="712"/>
      <c r="AA125" s="606"/>
      <c r="AB125" s="620"/>
      <c r="AC125" s="606"/>
      <c r="AD125" s="620">
        <v>-4041122.0349476999</v>
      </c>
      <c r="AE125" s="606"/>
      <c r="AF125" s="620"/>
      <c r="AG125" s="606"/>
      <c r="AH125" s="712"/>
      <c r="AI125" s="606"/>
      <c r="AJ125" s="605">
        <f t="shared" ref="AJ125:AJ129" si="117">+R125-AB125</f>
        <v>0</v>
      </c>
      <c r="AK125" s="606"/>
      <c r="AL125" s="605">
        <f t="shared" ref="AL125:AL129" si="118">+T125-AD125</f>
        <v>-7741337.6252098167</v>
      </c>
      <c r="AM125" s="606"/>
      <c r="AN125" s="605">
        <f t="shared" ref="AN125:AN129" si="119">+V125-AF125</f>
        <v>0</v>
      </c>
      <c r="AO125" s="606"/>
      <c r="AP125" s="606">
        <f t="shared" ref="AP125:AP129" si="120">SUM(AJ125:AN125)</f>
        <v>-7741337.6252098167</v>
      </c>
      <c r="AR125" s="620"/>
      <c r="AS125" s="606"/>
      <c r="AT125" s="620">
        <v>-1225034.1828759292</v>
      </c>
      <c r="AU125" s="606"/>
      <c r="AV125" s="620"/>
      <c r="AW125" s="606"/>
      <c r="AX125" s="605">
        <f>+AJ125-AR125</f>
        <v>0</v>
      </c>
      <c r="AY125" s="606"/>
      <c r="AZ125" s="605">
        <f>+AL125-AT125</f>
        <v>-6516303.4423338873</v>
      </c>
      <c r="BA125" s="606"/>
      <c r="BB125" s="605">
        <f>+AN125-AV125</f>
        <v>0</v>
      </c>
      <c r="BC125" s="606"/>
      <c r="BD125" s="606">
        <f>SUM(AX125:BB125)</f>
        <v>-6516303.4423338873</v>
      </c>
      <c r="BF125" s="712">
        <f>+N125*$BF$9</f>
        <v>-16360800.678953011</v>
      </c>
      <c r="BH125" s="590">
        <f t="shared" si="115"/>
        <v>701</v>
      </c>
    </row>
    <row r="126" spans="1:60" ht="14.5">
      <c r="A126" s="590">
        <f t="shared" si="116"/>
        <v>702</v>
      </c>
      <c r="B126" s="622" t="s">
        <v>1935</v>
      </c>
      <c r="H126" s="723"/>
      <c r="J126" s="620">
        <v>3240926.9879999999</v>
      </c>
      <c r="K126" s="606"/>
      <c r="L126" s="620">
        <v>1944556.164138</v>
      </c>
      <c r="M126" s="606"/>
      <c r="N126" s="620">
        <v>1296370.8238620001</v>
      </c>
      <c r="R126" s="606">
        <v>0</v>
      </c>
      <c r="S126" s="606"/>
      <c r="T126" s="606">
        <f t="shared" ref="T126:T129" si="121">N126</f>
        <v>1296370.8238620001</v>
      </c>
      <c r="U126" s="606"/>
      <c r="V126" s="606">
        <v>0</v>
      </c>
      <c r="W126" s="606"/>
      <c r="X126" s="606">
        <f t="shared" ref="X126:X129" si="122">SUM(R126:V126)</f>
        <v>1296370.8238620001</v>
      </c>
      <c r="Y126" s="606"/>
      <c r="Z126" s="712"/>
      <c r="AA126" s="606"/>
      <c r="AB126" s="620"/>
      <c r="AC126" s="606"/>
      <c r="AD126" s="620">
        <v>444626.40678389522</v>
      </c>
      <c r="AE126" s="606"/>
      <c r="AF126" s="620"/>
      <c r="AG126" s="606"/>
      <c r="AH126" s="712"/>
      <c r="AI126" s="606"/>
      <c r="AJ126" s="605">
        <f t="shared" si="117"/>
        <v>0</v>
      </c>
      <c r="AK126" s="606"/>
      <c r="AL126" s="605">
        <f t="shared" si="118"/>
        <v>851744.41707810492</v>
      </c>
      <c r="AM126" s="606"/>
      <c r="AN126" s="605">
        <f t="shared" si="119"/>
        <v>0</v>
      </c>
      <c r="AO126" s="606"/>
      <c r="AP126" s="606">
        <f t="shared" si="120"/>
        <v>851744.41707810492</v>
      </c>
      <c r="AR126" s="620"/>
      <c r="AS126" s="606"/>
      <c r="AT126" s="620">
        <v>134784.97857999455</v>
      </c>
      <c r="AU126" s="606"/>
      <c r="AV126" s="620"/>
      <c r="AW126" s="606"/>
      <c r="AX126" s="605">
        <f>+AJ126-AR126</f>
        <v>0</v>
      </c>
      <c r="AY126" s="606"/>
      <c r="AZ126" s="605">
        <f>+AL126-AT126</f>
        <v>716959.43849811039</v>
      </c>
      <c r="BA126" s="606"/>
      <c r="BB126" s="605">
        <f>+AN126-AV126</f>
        <v>0</v>
      </c>
      <c r="BC126" s="606"/>
      <c r="BD126" s="606">
        <f t="shared" ref="BD126:BD129" si="123">SUM(AX126:BB126)</f>
        <v>716959.43849811039</v>
      </c>
      <c r="BF126" s="712">
        <f>+N126*$BF$9</f>
        <v>1800105.0092228993</v>
      </c>
      <c r="BH126" s="590">
        <f t="shared" si="115"/>
        <v>702</v>
      </c>
    </row>
    <row r="127" spans="1:60" ht="14.5">
      <c r="A127" s="590">
        <f t="shared" si="116"/>
        <v>703</v>
      </c>
      <c r="B127" s="622" t="s">
        <v>1936</v>
      </c>
      <c r="H127" s="723"/>
      <c r="J127" s="620">
        <v>3853248.5804000003</v>
      </c>
      <c r="K127" s="606"/>
      <c r="L127" s="620">
        <v>2311451.0598511361</v>
      </c>
      <c r="M127" s="606"/>
      <c r="N127" s="620">
        <v>1541797.520548864</v>
      </c>
      <c r="R127" s="606">
        <v>0</v>
      </c>
      <c r="S127" s="606"/>
      <c r="T127" s="606">
        <f t="shared" si="121"/>
        <v>1541797.520548864</v>
      </c>
      <c r="U127" s="606"/>
      <c r="V127" s="606">
        <v>0</v>
      </c>
      <c r="W127" s="606"/>
      <c r="X127" s="606">
        <f t="shared" si="122"/>
        <v>1541797.520548864</v>
      </c>
      <c r="Y127" s="606"/>
      <c r="Z127" s="712"/>
      <c r="AA127" s="606"/>
      <c r="AB127" s="620"/>
      <c r="AC127" s="606"/>
      <c r="AD127" s="620">
        <v>528802.31406915316</v>
      </c>
      <c r="AE127" s="606"/>
      <c r="AF127" s="620"/>
      <c r="AG127" s="606"/>
      <c r="AH127" s="712"/>
      <c r="AI127" s="606"/>
      <c r="AJ127" s="605">
        <f t="shared" si="117"/>
        <v>0</v>
      </c>
      <c r="AK127" s="606"/>
      <c r="AL127" s="605">
        <f t="shared" si="118"/>
        <v>1012995.2064797109</v>
      </c>
      <c r="AM127" s="606"/>
      <c r="AN127" s="605">
        <f t="shared" si="119"/>
        <v>0</v>
      </c>
      <c r="AO127" s="606"/>
      <c r="AP127" s="606">
        <f t="shared" si="120"/>
        <v>1012995.2064797109</v>
      </c>
      <c r="AR127" s="620"/>
      <c r="AS127" s="606"/>
      <c r="AT127" s="620">
        <v>160302.23910993309</v>
      </c>
      <c r="AU127" s="606"/>
      <c r="AV127" s="620"/>
      <c r="AW127" s="606"/>
      <c r="AX127" s="605">
        <f>+AJ127-AR127</f>
        <v>0</v>
      </c>
      <c r="AY127" s="606"/>
      <c r="AZ127" s="605">
        <f>+AL127-AT127</f>
        <v>852692.96736977785</v>
      </c>
      <c r="BA127" s="606"/>
      <c r="BB127" s="605">
        <f>+AN127-AV127</f>
        <v>0</v>
      </c>
      <c r="BC127" s="606"/>
      <c r="BD127" s="606">
        <f t="shared" si="123"/>
        <v>852692.96736977785</v>
      </c>
      <c r="BF127" s="712">
        <f>+N127*$BF$9</f>
        <v>2140897.7962642731</v>
      </c>
      <c r="BH127" s="590">
        <f t="shared" si="115"/>
        <v>703</v>
      </c>
    </row>
    <row r="128" spans="1:60" ht="14.5">
      <c r="A128" s="590">
        <f t="shared" si="116"/>
        <v>704</v>
      </c>
      <c r="B128" s="622"/>
      <c r="H128" s="723"/>
      <c r="J128" s="620"/>
      <c r="K128" s="606"/>
      <c r="L128" s="620"/>
      <c r="M128" s="606"/>
      <c r="N128" s="620"/>
      <c r="R128" s="606">
        <v>0</v>
      </c>
      <c r="S128" s="606"/>
      <c r="T128" s="606">
        <f t="shared" si="121"/>
        <v>0</v>
      </c>
      <c r="U128" s="606"/>
      <c r="V128" s="606">
        <v>0</v>
      </c>
      <c r="W128" s="606"/>
      <c r="X128" s="606">
        <f t="shared" si="122"/>
        <v>0</v>
      </c>
      <c r="Y128" s="606"/>
      <c r="Z128" s="712"/>
      <c r="AA128" s="606"/>
      <c r="AB128" s="620"/>
      <c r="AC128" s="606"/>
      <c r="AD128" s="620">
        <v>0</v>
      </c>
      <c r="AE128" s="606"/>
      <c r="AF128" s="620"/>
      <c r="AG128" s="606"/>
      <c r="AH128" s="712"/>
      <c r="AI128" s="606"/>
      <c r="AJ128" s="605">
        <f t="shared" si="117"/>
        <v>0</v>
      </c>
      <c r="AK128" s="606"/>
      <c r="AL128" s="605">
        <f t="shared" si="118"/>
        <v>0</v>
      </c>
      <c r="AM128" s="606"/>
      <c r="AN128" s="605">
        <f t="shared" si="119"/>
        <v>0</v>
      </c>
      <c r="AO128" s="606"/>
      <c r="AP128" s="606">
        <f t="shared" si="120"/>
        <v>0</v>
      </c>
      <c r="AR128" s="620"/>
      <c r="AS128" s="606"/>
      <c r="AT128" s="620"/>
      <c r="AU128" s="606"/>
      <c r="AV128" s="620"/>
      <c r="AW128" s="606"/>
      <c r="AX128" s="605">
        <f>+AJ128-AR128</f>
        <v>0</v>
      </c>
      <c r="AY128" s="606"/>
      <c r="AZ128" s="605">
        <f>+AL128-AT128</f>
        <v>0</v>
      </c>
      <c r="BA128" s="606"/>
      <c r="BB128" s="605">
        <f>+AN128-AV128</f>
        <v>0</v>
      </c>
      <c r="BC128" s="606"/>
      <c r="BD128" s="606">
        <f t="shared" si="123"/>
        <v>0</v>
      </c>
      <c r="BF128" s="712">
        <f>+N128*$BF$9</f>
        <v>0</v>
      </c>
      <c r="BH128" s="590">
        <f t="shared" si="115"/>
        <v>704</v>
      </c>
    </row>
    <row r="129" spans="1:60" ht="14.5">
      <c r="A129" s="590">
        <f>+A128+1</f>
        <v>705</v>
      </c>
      <c r="B129" s="622"/>
      <c r="H129" s="723"/>
      <c r="J129" s="620"/>
      <c r="K129" s="606"/>
      <c r="L129" s="620"/>
      <c r="M129" s="606"/>
      <c r="N129" s="620"/>
      <c r="R129" s="606">
        <v>0</v>
      </c>
      <c r="S129" s="606"/>
      <c r="T129" s="606">
        <f t="shared" si="121"/>
        <v>0</v>
      </c>
      <c r="U129" s="606"/>
      <c r="V129" s="606">
        <v>0</v>
      </c>
      <c r="W129" s="606"/>
      <c r="X129" s="606">
        <f t="shared" si="122"/>
        <v>0</v>
      </c>
      <c r="Y129" s="606"/>
      <c r="Z129" s="712"/>
      <c r="AA129" s="606"/>
      <c r="AB129" s="620"/>
      <c r="AC129" s="606"/>
      <c r="AD129" s="620">
        <v>0</v>
      </c>
      <c r="AE129" s="606"/>
      <c r="AF129" s="620"/>
      <c r="AG129" s="606"/>
      <c r="AH129" s="712"/>
      <c r="AI129" s="606"/>
      <c r="AJ129" s="605">
        <f t="shared" si="117"/>
        <v>0</v>
      </c>
      <c r="AK129" s="606"/>
      <c r="AL129" s="605">
        <f t="shared" si="118"/>
        <v>0</v>
      </c>
      <c r="AM129" s="606"/>
      <c r="AN129" s="605">
        <f t="shared" si="119"/>
        <v>0</v>
      </c>
      <c r="AO129" s="606"/>
      <c r="AP129" s="606">
        <f t="shared" si="120"/>
        <v>0</v>
      </c>
      <c r="AR129" s="620"/>
      <c r="AS129" s="606"/>
      <c r="AT129" s="620"/>
      <c r="AU129" s="606"/>
      <c r="AV129" s="620"/>
      <c r="AW129" s="606"/>
      <c r="AX129" s="605">
        <f>+AJ129-AR129</f>
        <v>0</v>
      </c>
      <c r="AY129" s="606"/>
      <c r="AZ129" s="605">
        <f>+AL129-AT129</f>
        <v>0</v>
      </c>
      <c r="BA129" s="606"/>
      <c r="BB129" s="605">
        <f>+AN129-AV129</f>
        <v>0</v>
      </c>
      <c r="BC129" s="606"/>
      <c r="BD129" s="606">
        <f t="shared" si="123"/>
        <v>0</v>
      </c>
      <c r="BF129" s="712">
        <f>+N129*$BF$9</f>
        <v>0</v>
      </c>
      <c r="BH129" s="590">
        <f t="shared" si="115"/>
        <v>705</v>
      </c>
    </row>
    <row r="133" spans="1:60">
      <c r="A133" s="703" t="s">
        <v>125</v>
      </c>
      <c r="B133" s="836" t="s">
        <v>1741</v>
      </c>
      <c r="C133" s="836"/>
      <c r="D133" s="836"/>
      <c r="E133" s="836"/>
      <c r="F133" s="836"/>
      <c r="G133" s="836"/>
      <c r="H133" s="836"/>
      <c r="I133" s="836"/>
      <c r="J133" s="836"/>
      <c r="K133" s="836"/>
      <c r="L133" s="836"/>
    </row>
    <row r="134" spans="1:60">
      <c r="A134" s="704" t="s">
        <v>1736</v>
      </c>
      <c r="B134" s="835" t="s">
        <v>1742</v>
      </c>
      <c r="C134" s="835"/>
      <c r="D134" s="835"/>
    </row>
    <row r="135" spans="1:60">
      <c r="A135" s="704" t="s">
        <v>1737</v>
      </c>
      <c r="B135" s="835" t="s">
        <v>1743</v>
      </c>
      <c r="C135" s="835"/>
      <c r="D135" s="835"/>
    </row>
    <row r="136" spans="1:60">
      <c r="A136" s="704" t="s">
        <v>1738</v>
      </c>
      <c r="B136" s="835" t="s">
        <v>1744</v>
      </c>
      <c r="C136" s="835"/>
      <c r="D136" s="835"/>
    </row>
    <row r="137" spans="1:60">
      <c r="A137" s="704" t="s">
        <v>1739</v>
      </c>
      <c r="B137" s="835" t="s">
        <v>1745</v>
      </c>
      <c r="C137" s="835"/>
      <c r="D137" s="835"/>
    </row>
    <row r="138" spans="1:60">
      <c r="A138" s="704" t="s">
        <v>1740</v>
      </c>
      <c r="B138" s="835" t="s">
        <v>1746</v>
      </c>
      <c r="C138" s="835"/>
      <c r="D138" s="835"/>
    </row>
    <row r="139" spans="1:60">
      <c r="A139" s="704" t="s">
        <v>1747</v>
      </c>
      <c r="B139" s="835" t="s">
        <v>1748</v>
      </c>
      <c r="C139" s="835"/>
      <c r="D139" s="835"/>
    </row>
    <row r="140" spans="1:60">
      <c r="A140" s="704" t="s">
        <v>1749</v>
      </c>
      <c r="B140" s="835" t="s">
        <v>1750</v>
      </c>
      <c r="C140" s="835"/>
      <c r="D140" s="835"/>
    </row>
    <row r="141" spans="1:60">
      <c r="A141" s="704" t="s">
        <v>1751</v>
      </c>
      <c r="B141" s="835" t="s">
        <v>1752</v>
      </c>
      <c r="C141" s="835"/>
      <c r="D141" s="835"/>
    </row>
    <row r="142" spans="1:60">
      <c r="A142" s="704" t="s">
        <v>1753</v>
      </c>
      <c r="B142" s="705" t="s">
        <v>1754</v>
      </c>
      <c r="C142" s="705"/>
      <c r="D142" s="705"/>
    </row>
  </sheetData>
  <mergeCells count="18">
    <mergeCell ref="B138:D138"/>
    <mergeCell ref="B139:D139"/>
    <mergeCell ref="B140:D140"/>
    <mergeCell ref="B141:D141"/>
    <mergeCell ref="B133:L133"/>
    <mergeCell ref="B134:D134"/>
    <mergeCell ref="B135:D135"/>
    <mergeCell ref="B136:D136"/>
    <mergeCell ref="B137:D137"/>
    <mergeCell ref="AX4:BB4"/>
    <mergeCell ref="AX7:BD7"/>
    <mergeCell ref="R7:X7"/>
    <mergeCell ref="AJ7:AP7"/>
    <mergeCell ref="J4:N4"/>
    <mergeCell ref="R4:V4"/>
    <mergeCell ref="AJ4:AN4"/>
    <mergeCell ref="AB6:AF6"/>
    <mergeCell ref="AR6:AV6"/>
  </mergeCells>
  <printOptions horizontalCentered="1"/>
  <pageMargins left="1" right="1" top="1" bottom="1" header="0.5" footer="0.5"/>
  <pageSetup scale="16" fitToHeight="0" orientation="landscape" r:id="rId1"/>
  <headerFooter>
    <oddHeader xml:space="preserve">&amp;C&amp;"-,Bold"Pacific Gas and Electric Company
Formula Rate Model
Schedule &amp;A&amp;R&amp;10Docket No. ER19-13-000, et al- Annual Update RY2024
&amp;F
</oddHeader>
  </headerFooter>
  <colBreaks count="3" manualBreakCount="3">
    <brk id="17" max="1048575" man="1"/>
    <brk id="34" max="1048575" man="1"/>
    <brk id="49" max="1048575" man="1"/>
  </colBreaks>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892E-67A1-4EEA-95B4-269B8AE72B1F}">
  <sheetPr>
    <pageSetUpPr fitToPage="1"/>
  </sheetPr>
  <dimension ref="A1:BJ139"/>
  <sheetViews>
    <sheetView tabSelected="1" view="pageBreakPreview" topLeftCell="Q99" zoomScale="55" zoomScaleNormal="55" zoomScaleSheetLayoutView="55" zoomScalePageLayoutView="55" workbookViewId="0">
      <selection activeCell="P108" sqref="P108"/>
    </sheetView>
  </sheetViews>
  <sheetFormatPr defaultColWidth="9.1796875" defaultRowHeight="14.5"/>
  <cols>
    <col min="1" max="1" width="6.7265625" style="705" bestFit="1" customWidth="1"/>
    <col min="2" max="2" width="50.453125" style="705" customWidth="1"/>
    <col min="3" max="3" width="31" style="705" customWidth="1"/>
    <col min="4" max="4" width="26.26953125" style="705" customWidth="1"/>
    <col min="5" max="5" width="0.81640625" style="705" customWidth="1"/>
    <col min="6" max="6" width="17.453125" style="715" bestFit="1" customWidth="1"/>
    <col min="7" max="7" width="1.1796875" style="705" customWidth="1"/>
    <col min="8" max="8" width="15.1796875" style="705" bestFit="1" customWidth="1"/>
    <col min="9" max="9" width="1.7265625" style="705" customWidth="1"/>
    <col min="10" max="10" width="15.1796875" style="705" bestFit="1" customWidth="1"/>
    <col min="11" max="11" width="1.7265625" style="705" customWidth="1"/>
    <col min="12" max="12" width="15.81640625" style="705" bestFit="1" customWidth="1"/>
    <col min="13" max="13" width="1.7265625" style="705" customWidth="1"/>
    <col min="14" max="14" width="17.453125" style="705" bestFit="1" customWidth="1"/>
    <col min="15" max="15" width="1.453125" style="705" customWidth="1"/>
    <col min="16" max="16" width="9.1796875" style="17"/>
    <col min="17" max="17" width="1.7265625" style="705" customWidth="1"/>
    <col min="18" max="18" width="22.1796875" style="705" customWidth="1"/>
    <col min="19" max="19" width="1.7265625" style="705" customWidth="1"/>
    <col min="20" max="20" width="20.26953125" style="705" customWidth="1"/>
    <col min="21" max="21" width="1.7265625" style="705" customWidth="1"/>
    <col min="22" max="22" width="17.7265625" style="705" customWidth="1"/>
    <col min="23" max="23" width="1.7265625" style="705" customWidth="1"/>
    <col min="24" max="24" width="19" style="705" customWidth="1"/>
    <col min="25" max="25" width="1.7265625" style="705" customWidth="1"/>
    <col min="26" max="26" width="19.81640625" style="705" customWidth="1"/>
    <col min="27" max="27" width="1.7265625" style="705" customWidth="1"/>
    <col min="28" max="28" width="24.54296875" style="705" bestFit="1" customWidth="1"/>
    <col min="29" max="29" width="1.7265625" style="705" customWidth="1"/>
    <col min="30" max="30" width="18.1796875" style="705" customWidth="1"/>
    <col min="31" max="31" width="1.7265625" style="705" customWidth="1"/>
    <col min="32" max="32" width="19.1796875" style="705" customWidth="1"/>
    <col min="33" max="33" width="1.7265625" style="705" customWidth="1"/>
    <col min="34" max="34" width="18.81640625" style="705" customWidth="1"/>
    <col min="35" max="35" width="1.7265625" style="705" customWidth="1"/>
    <col min="36" max="36" width="21.81640625" style="705" bestFit="1" customWidth="1"/>
    <col min="37" max="37" width="1.7265625" style="705" customWidth="1"/>
    <col min="38" max="38" width="26.26953125" style="705" customWidth="1"/>
    <col min="39" max="39" width="1.7265625" style="705" customWidth="1"/>
    <col min="40" max="40" width="26.54296875" style="705" customWidth="1"/>
    <col min="41" max="41" width="1.7265625" style="705" customWidth="1"/>
    <col min="42" max="42" width="25.54296875" style="705" customWidth="1"/>
    <col min="43" max="43" width="1.7265625" style="705" customWidth="1"/>
    <col min="44" max="44" width="21.81640625" style="705" customWidth="1"/>
    <col min="45" max="45" width="1.7265625" style="705" customWidth="1"/>
    <col min="46" max="46" width="18.81640625" style="705" customWidth="1"/>
    <col min="47" max="47" width="1.7265625" style="705" customWidth="1"/>
    <col min="48" max="48" width="19.1796875" style="705" customWidth="1"/>
    <col min="49" max="49" width="1.7265625" style="705" customWidth="1"/>
    <col min="50" max="50" width="20.54296875" style="705" customWidth="1"/>
    <col min="51" max="51" width="1.7265625" style="705" customWidth="1"/>
    <col min="52" max="52" width="22.453125" style="705" customWidth="1"/>
    <col min="53" max="53" width="1.7265625" style="705" customWidth="1"/>
    <col min="54" max="54" width="23.1796875" style="705" customWidth="1"/>
    <col min="55" max="55" width="1.7265625" style="705" customWidth="1"/>
    <col min="56" max="56" width="22.54296875" style="705" customWidth="1"/>
    <col min="57" max="57" width="1.7265625" style="705" customWidth="1"/>
    <col min="58" max="58" width="25.453125" style="705" customWidth="1"/>
    <col min="59" max="59" width="2.1796875" style="705" customWidth="1"/>
    <col min="60" max="60" width="17.7265625" style="705" customWidth="1"/>
    <col min="61" max="61" width="22.7265625" style="705" bestFit="1" customWidth="1"/>
    <col min="62" max="62" width="4.7265625" style="705" bestFit="1" customWidth="1"/>
    <col min="63" max="16384" width="9.1796875" style="705"/>
  </cols>
  <sheetData>
    <row r="1" spans="1:62">
      <c r="B1" s="90" t="s">
        <v>1778</v>
      </c>
      <c r="C1" s="90"/>
      <c r="D1" s="90"/>
      <c r="E1" s="90"/>
      <c r="F1" s="76"/>
      <c r="G1" s="90"/>
      <c r="H1" s="90"/>
      <c r="I1" s="90"/>
      <c r="J1" s="90"/>
      <c r="K1" s="90"/>
      <c r="L1" s="90"/>
      <c r="M1" s="90"/>
      <c r="N1" s="90"/>
      <c r="O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130" t="str">
        <f>CONCATENATE("Prior Year: ",'1-BaseTRR'!$F$2)</f>
        <v>Prior Year: 2022</v>
      </c>
    </row>
    <row r="2" spans="1:62">
      <c r="A2" s="90"/>
      <c r="B2" s="618" t="s">
        <v>196</v>
      </c>
      <c r="C2" s="618"/>
      <c r="D2" s="90"/>
      <c r="E2" s="90"/>
      <c r="F2" s="76"/>
      <c r="G2" s="90"/>
      <c r="H2" s="90"/>
      <c r="I2" s="90"/>
      <c r="J2" s="90"/>
      <c r="K2" s="90"/>
      <c r="L2" s="90"/>
      <c r="M2" s="90"/>
      <c r="N2" s="90"/>
      <c r="O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2">
      <c r="A3" s="76"/>
      <c r="B3" s="76"/>
      <c r="C3" s="76"/>
      <c r="D3" s="76"/>
      <c r="E3" s="76"/>
      <c r="F3" s="76"/>
      <c r="G3" s="76"/>
      <c r="H3" s="76"/>
      <c r="I3" s="76"/>
      <c r="J3" s="76"/>
      <c r="K3" s="76"/>
      <c r="L3" s="76"/>
      <c r="M3" s="76"/>
      <c r="N3" s="76"/>
      <c r="O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row>
    <row r="4" spans="1:62">
      <c r="J4" s="837" t="s">
        <v>1531</v>
      </c>
      <c r="K4" s="837"/>
      <c r="L4" s="837"/>
      <c r="M4" s="837"/>
      <c r="N4" s="837"/>
      <c r="O4" s="715"/>
      <c r="Q4" s="715"/>
      <c r="R4" s="711" t="s">
        <v>1532</v>
      </c>
      <c r="T4" s="837" t="s">
        <v>1533</v>
      </c>
      <c r="U4" s="837"/>
      <c r="V4" s="837"/>
      <c r="W4" s="837"/>
      <c r="X4" s="837"/>
      <c r="AB4" s="716" t="s">
        <v>1534</v>
      </c>
      <c r="AJ4" s="711" t="s">
        <v>1535</v>
      </c>
      <c r="AK4" s="715"/>
      <c r="AL4" s="837" t="s">
        <v>1533</v>
      </c>
      <c r="AM4" s="837"/>
      <c r="AN4" s="837"/>
      <c r="AO4" s="837"/>
      <c r="AP4" s="837"/>
      <c r="AQ4" s="715"/>
      <c r="AR4" s="715"/>
      <c r="AZ4" s="837" t="s">
        <v>1533</v>
      </c>
      <c r="BA4" s="837"/>
      <c r="BB4" s="837"/>
      <c r="BC4" s="837"/>
      <c r="BD4" s="837"/>
      <c r="BE4" s="715"/>
      <c r="BF4" s="715"/>
      <c r="BG4" s="715"/>
      <c r="BH4" s="715"/>
    </row>
    <row r="5" spans="1:62">
      <c r="A5" s="702"/>
      <c r="B5" s="702"/>
      <c r="C5" s="702"/>
      <c r="D5" s="702"/>
      <c r="E5" s="702"/>
      <c r="F5" s="706"/>
      <c r="G5" s="702"/>
      <c r="H5" s="589" t="s">
        <v>1755</v>
      </c>
      <c r="I5" s="702"/>
      <c r="J5" s="589" t="s">
        <v>100</v>
      </c>
      <c r="K5" s="589"/>
      <c r="L5" s="589" t="s">
        <v>101</v>
      </c>
      <c r="M5" s="589"/>
      <c r="N5" s="589" t="s">
        <v>102</v>
      </c>
      <c r="O5" s="589"/>
      <c r="Q5" s="589"/>
      <c r="R5" s="589" t="s">
        <v>103</v>
      </c>
      <c r="S5" s="589"/>
      <c r="T5" s="589" t="s">
        <v>104</v>
      </c>
      <c r="U5" s="589"/>
      <c r="V5" s="589" t="s">
        <v>105</v>
      </c>
      <c r="W5" s="589"/>
      <c r="X5" s="589" t="s">
        <v>106</v>
      </c>
      <c r="Y5" s="589"/>
      <c r="Z5" s="589" t="s">
        <v>107</v>
      </c>
      <c r="AA5" s="589"/>
      <c r="AB5" s="589" t="s">
        <v>108</v>
      </c>
      <c r="AC5" s="590"/>
      <c r="AD5" s="590" t="s">
        <v>271</v>
      </c>
      <c r="AE5" s="590"/>
      <c r="AF5" s="590" t="s">
        <v>272</v>
      </c>
      <c r="AG5" s="590"/>
      <c r="AH5" s="590" t="s">
        <v>273</v>
      </c>
      <c r="AI5" s="590"/>
      <c r="AJ5" s="717" t="s">
        <v>274</v>
      </c>
      <c r="AK5" s="590"/>
      <c r="AL5" s="590" t="s">
        <v>275</v>
      </c>
      <c r="AM5" s="590"/>
      <c r="AN5" s="590" t="s">
        <v>753</v>
      </c>
      <c r="AO5" s="590"/>
      <c r="AP5" s="590" t="s">
        <v>1536</v>
      </c>
      <c r="AQ5" s="590"/>
      <c r="AR5" s="590" t="s">
        <v>1537</v>
      </c>
      <c r="AS5" s="590"/>
      <c r="AT5" s="590" t="s">
        <v>1597</v>
      </c>
      <c r="AU5" s="590"/>
      <c r="AV5" s="590" t="s">
        <v>1598</v>
      </c>
      <c r="AW5" s="590"/>
      <c r="AX5" s="590" t="s">
        <v>1599</v>
      </c>
      <c r="AY5" s="590"/>
      <c r="AZ5" s="589" t="s">
        <v>1601</v>
      </c>
      <c r="BA5" s="589"/>
      <c r="BB5" s="589" t="s">
        <v>1602</v>
      </c>
      <c r="BC5" s="589"/>
      <c r="BD5" s="589" t="s">
        <v>1603</v>
      </c>
      <c r="BE5" s="589"/>
      <c r="BF5" s="589" t="s">
        <v>1604</v>
      </c>
      <c r="BG5" s="590"/>
      <c r="BH5" s="589">
        <v>25</v>
      </c>
      <c r="BI5" s="702"/>
      <c r="BJ5" s="702"/>
    </row>
    <row r="6" spans="1:62" ht="28.5" customHeight="1">
      <c r="A6" s="702"/>
      <c r="B6" s="702"/>
      <c r="C6" s="702"/>
      <c r="D6" s="702"/>
      <c r="E6" s="702"/>
      <c r="F6" s="706"/>
      <c r="G6" s="702"/>
      <c r="H6" s="590"/>
      <c r="I6" s="702"/>
      <c r="J6" s="590"/>
      <c r="K6" s="590"/>
      <c r="L6" s="590"/>
      <c r="M6" s="590"/>
      <c r="N6" s="590" t="s">
        <v>877</v>
      </c>
      <c r="O6" s="590"/>
      <c r="P6" s="705"/>
      <c r="Q6" s="590"/>
      <c r="R6" s="590"/>
      <c r="S6" s="590"/>
      <c r="T6" s="589"/>
      <c r="U6" s="589"/>
      <c r="V6" s="589"/>
      <c r="W6" s="589"/>
      <c r="X6" s="589"/>
      <c r="Y6" s="589"/>
      <c r="Z6" s="589" t="s">
        <v>1588</v>
      </c>
      <c r="AA6" s="590"/>
      <c r="AB6" s="590"/>
      <c r="AC6" s="590"/>
      <c r="AD6" s="838" t="s">
        <v>1779</v>
      </c>
      <c r="AE6" s="838"/>
      <c r="AF6" s="838"/>
      <c r="AG6" s="838"/>
      <c r="AH6" s="838"/>
      <c r="AI6" s="590"/>
      <c r="AJ6" s="590"/>
      <c r="AK6" s="590"/>
      <c r="AL6" s="590" t="s">
        <v>1587</v>
      </c>
      <c r="AM6" s="590"/>
      <c r="AN6" s="590" t="s">
        <v>1589</v>
      </c>
      <c r="AO6" s="590"/>
      <c r="AP6" s="590" t="s">
        <v>1590</v>
      </c>
      <c r="AQ6" s="590"/>
      <c r="AR6" s="590" t="s">
        <v>1591</v>
      </c>
      <c r="AS6" s="590"/>
      <c r="AT6" s="838" t="s">
        <v>1780</v>
      </c>
      <c r="AU6" s="838"/>
      <c r="AV6" s="838"/>
      <c r="AW6" s="838"/>
      <c r="AX6" s="838"/>
      <c r="AY6" s="590"/>
      <c r="AZ6" s="590" t="s">
        <v>1606</v>
      </c>
      <c r="BA6" s="590"/>
      <c r="BB6" s="590" t="s">
        <v>1607</v>
      </c>
      <c r="BC6" s="590"/>
      <c r="BD6" s="590" t="s">
        <v>1608</v>
      </c>
      <c r="BE6" s="590"/>
      <c r="BF6" s="590" t="s">
        <v>1609</v>
      </c>
      <c r="BG6" s="590"/>
      <c r="BH6" s="709" t="s">
        <v>1775</v>
      </c>
      <c r="BI6" s="702"/>
      <c r="BJ6" s="702"/>
    </row>
    <row r="7" spans="1:62" ht="29">
      <c r="B7" s="591"/>
      <c r="C7" s="591"/>
      <c r="D7" s="591"/>
      <c r="E7" s="591"/>
      <c r="F7" s="593" t="s">
        <v>1756</v>
      </c>
      <c r="G7" s="591"/>
      <c r="H7" s="592" t="s">
        <v>1757</v>
      </c>
      <c r="I7" s="591"/>
      <c r="J7" s="592" t="s">
        <v>1538</v>
      </c>
      <c r="K7" s="591"/>
      <c r="L7" s="592" t="s">
        <v>1539</v>
      </c>
      <c r="M7" s="591"/>
      <c r="N7" s="709" t="s">
        <v>1860</v>
      </c>
      <c r="O7" s="593"/>
      <c r="Q7" s="593"/>
      <c r="R7" s="593" t="s">
        <v>330</v>
      </c>
      <c r="S7" s="591"/>
      <c r="T7" s="833" t="s">
        <v>1781</v>
      </c>
      <c r="U7" s="833"/>
      <c r="V7" s="833"/>
      <c r="W7" s="833"/>
      <c r="X7" s="833"/>
      <c r="Y7" s="833"/>
      <c r="Z7" s="833"/>
      <c r="AA7" s="592"/>
      <c r="AB7" s="592"/>
      <c r="AC7" s="592"/>
      <c r="AD7" s="592" t="s">
        <v>208</v>
      </c>
      <c r="AE7" s="592"/>
      <c r="AF7" s="592" t="s">
        <v>208</v>
      </c>
      <c r="AG7" s="592"/>
      <c r="AH7" s="592" t="s">
        <v>208</v>
      </c>
      <c r="AI7" s="592"/>
      <c r="AJ7" s="592" t="s">
        <v>330</v>
      </c>
      <c r="AK7" s="592"/>
      <c r="AL7" s="833" t="s">
        <v>1782</v>
      </c>
      <c r="AM7" s="833"/>
      <c r="AN7" s="833"/>
      <c r="AO7" s="833"/>
      <c r="AP7" s="833"/>
      <c r="AQ7" s="833"/>
      <c r="AR7" s="833"/>
      <c r="AS7" s="592"/>
      <c r="AT7" s="592" t="s">
        <v>208</v>
      </c>
      <c r="AU7" s="592"/>
      <c r="AV7" s="592" t="s">
        <v>208</v>
      </c>
      <c r="AW7" s="592"/>
      <c r="AX7" s="592" t="s">
        <v>208</v>
      </c>
      <c r="AY7" s="592"/>
      <c r="AZ7" s="833" t="s">
        <v>1783</v>
      </c>
      <c r="BA7" s="833"/>
      <c r="BB7" s="833"/>
      <c r="BC7" s="833"/>
      <c r="BD7" s="833"/>
      <c r="BE7" s="833"/>
      <c r="BF7" s="833"/>
      <c r="BG7" s="592"/>
      <c r="BH7" s="709" t="s">
        <v>1761</v>
      </c>
      <c r="BI7" s="591"/>
    </row>
    <row r="8" spans="1:62" ht="26.5">
      <c r="B8" s="591"/>
      <c r="C8" s="591"/>
      <c r="D8" s="591"/>
      <c r="E8" s="591"/>
      <c r="F8" s="593" t="s">
        <v>1758</v>
      </c>
      <c r="G8" s="591"/>
      <c r="H8" s="592" t="s">
        <v>1759</v>
      </c>
      <c r="I8" s="591"/>
      <c r="J8" s="592" t="s">
        <v>1784</v>
      </c>
      <c r="K8" s="591"/>
      <c r="L8" s="592" t="s">
        <v>1543</v>
      </c>
      <c r="M8" s="591"/>
      <c r="N8" s="724" t="s">
        <v>1861</v>
      </c>
      <c r="O8" s="593"/>
      <c r="Q8" s="593"/>
      <c r="R8" s="593" t="s">
        <v>1540</v>
      </c>
      <c r="S8" s="591"/>
      <c r="T8" s="592" t="s">
        <v>1544</v>
      </c>
      <c r="U8" s="592"/>
      <c r="V8" s="592" t="s">
        <v>1544</v>
      </c>
      <c r="W8" s="592"/>
      <c r="X8" s="592" t="s">
        <v>1544</v>
      </c>
      <c r="Y8" s="592"/>
      <c r="Z8" s="592"/>
      <c r="AA8" s="592"/>
      <c r="AB8" s="592" t="s">
        <v>208</v>
      </c>
      <c r="AC8" s="592"/>
      <c r="AD8" s="592" t="s">
        <v>874</v>
      </c>
      <c r="AE8" s="592"/>
      <c r="AF8" s="592" t="s">
        <v>874</v>
      </c>
      <c r="AG8" s="592"/>
      <c r="AH8" s="592" t="s">
        <v>874</v>
      </c>
      <c r="AI8" s="592"/>
      <c r="AJ8" s="592" t="s">
        <v>1545</v>
      </c>
      <c r="AK8" s="592"/>
      <c r="AL8" s="592" t="s">
        <v>1546</v>
      </c>
      <c r="AM8" s="592"/>
      <c r="AN8" s="592" t="s">
        <v>1546</v>
      </c>
      <c r="AO8" s="592"/>
      <c r="AP8" s="592" t="s">
        <v>1546</v>
      </c>
      <c r="AQ8" s="592"/>
      <c r="AR8" s="592"/>
      <c r="AS8" s="592"/>
      <c r="AT8" s="592" t="s">
        <v>874</v>
      </c>
      <c r="AU8" s="592"/>
      <c r="AV8" s="592" t="s">
        <v>874</v>
      </c>
      <c r="AW8" s="592"/>
      <c r="AX8" s="592" t="s">
        <v>874</v>
      </c>
      <c r="AY8" s="592"/>
      <c r="AZ8" s="592" t="s">
        <v>1546</v>
      </c>
      <c r="BA8" s="592"/>
      <c r="BB8" s="592" t="s">
        <v>1546</v>
      </c>
      <c r="BC8" s="592"/>
      <c r="BD8" s="592" t="s">
        <v>1546</v>
      </c>
      <c r="BE8" s="592"/>
      <c r="BF8" s="592"/>
      <c r="BG8" s="592"/>
      <c r="BH8" s="719" t="s">
        <v>1776</v>
      </c>
      <c r="BI8" s="591"/>
    </row>
    <row r="9" spans="1:62">
      <c r="A9" s="590"/>
      <c r="B9" s="702"/>
      <c r="C9" s="702"/>
      <c r="D9" s="702"/>
      <c r="E9" s="702"/>
      <c r="F9" s="593" t="s">
        <v>1549</v>
      </c>
      <c r="G9" s="702"/>
      <c r="H9" s="592" t="s">
        <v>1760</v>
      </c>
      <c r="I9" s="702"/>
      <c r="J9" s="725" t="s">
        <v>1548</v>
      </c>
      <c r="K9" s="702"/>
      <c r="L9" s="725" t="s">
        <v>1862</v>
      </c>
      <c r="M9" s="702"/>
      <c r="N9" s="706" t="s">
        <v>143</v>
      </c>
      <c r="O9" s="706"/>
      <c r="Q9" s="706"/>
      <c r="R9" s="706" t="s">
        <v>1549</v>
      </c>
      <c r="S9" s="702"/>
      <c r="T9" s="592" t="s">
        <v>1550</v>
      </c>
      <c r="U9" s="592"/>
      <c r="V9" s="590" t="s">
        <v>1551</v>
      </c>
      <c r="W9" s="590"/>
      <c r="X9" s="596" t="s">
        <v>1551</v>
      </c>
      <c r="Y9" s="596"/>
      <c r="Z9" s="596" t="s">
        <v>1544</v>
      </c>
      <c r="AA9" s="596"/>
      <c r="AB9" s="596" t="s">
        <v>1552</v>
      </c>
      <c r="AC9" s="596"/>
      <c r="AD9" s="592" t="s">
        <v>1550</v>
      </c>
      <c r="AE9" s="592"/>
      <c r="AF9" s="590" t="s">
        <v>1551</v>
      </c>
      <c r="AG9" s="590"/>
      <c r="AH9" s="596" t="s">
        <v>1551</v>
      </c>
      <c r="AI9" s="596"/>
      <c r="AJ9" s="596" t="s">
        <v>1553</v>
      </c>
      <c r="AK9" s="596"/>
      <c r="AL9" s="592" t="s">
        <v>1550</v>
      </c>
      <c r="AM9" s="592"/>
      <c r="AN9" s="590" t="s">
        <v>1551</v>
      </c>
      <c r="AO9" s="590"/>
      <c r="AP9" s="596" t="s">
        <v>1551</v>
      </c>
      <c r="AQ9" s="596"/>
      <c r="AR9" s="596" t="s">
        <v>1546</v>
      </c>
      <c r="AS9" s="596"/>
      <c r="AT9" s="592" t="s">
        <v>1550</v>
      </c>
      <c r="AU9" s="592"/>
      <c r="AV9" s="590" t="s">
        <v>1551</v>
      </c>
      <c r="AW9" s="590"/>
      <c r="AX9" s="596" t="s">
        <v>1551</v>
      </c>
      <c r="AY9" s="596"/>
      <c r="AZ9" s="592" t="s">
        <v>1550</v>
      </c>
      <c r="BA9" s="592"/>
      <c r="BB9" s="590" t="s">
        <v>1551</v>
      </c>
      <c r="BC9" s="590"/>
      <c r="BD9" s="596" t="s">
        <v>1551</v>
      </c>
      <c r="BE9" s="596"/>
      <c r="BF9" s="596" t="s">
        <v>1546</v>
      </c>
      <c r="BG9" s="596"/>
      <c r="BH9" s="720">
        <f>1/(1-(0.21+0.0884-(0.21*0.0884)))</f>
        <v>1.3885726029071155</v>
      </c>
      <c r="BI9" s="590"/>
      <c r="BJ9" s="590"/>
    </row>
    <row r="10" spans="1:62" ht="15" thickBot="1">
      <c r="A10" s="323" t="s">
        <v>124</v>
      </c>
      <c r="B10" s="707" t="s">
        <v>627</v>
      </c>
      <c r="C10" s="707"/>
      <c r="D10" s="707"/>
      <c r="E10" s="707"/>
      <c r="F10" s="602" t="s">
        <v>612</v>
      </c>
      <c r="G10" s="707"/>
      <c r="H10" s="708">
        <v>43100</v>
      </c>
      <c r="I10" s="707"/>
      <c r="J10" s="708">
        <v>43100</v>
      </c>
      <c r="K10" s="707"/>
      <c r="L10" s="708">
        <v>43100</v>
      </c>
      <c r="M10" s="707"/>
      <c r="N10" s="708">
        <v>43100</v>
      </c>
      <c r="O10" s="708"/>
      <c r="Q10" s="708"/>
      <c r="R10" s="708" t="s">
        <v>1554</v>
      </c>
      <c r="S10" s="707"/>
      <c r="T10" s="599" t="s">
        <v>1555</v>
      </c>
      <c r="U10" s="599"/>
      <c r="V10" s="600" t="s">
        <v>1555</v>
      </c>
      <c r="W10" s="600"/>
      <c r="X10" s="601" t="s">
        <v>1556</v>
      </c>
      <c r="Y10" s="601"/>
      <c r="Z10" s="601" t="s">
        <v>1557</v>
      </c>
      <c r="AA10" s="601"/>
      <c r="AB10" s="601" t="s">
        <v>1769</v>
      </c>
      <c r="AC10" s="601"/>
      <c r="AD10" s="599" t="s">
        <v>1555</v>
      </c>
      <c r="AE10" s="599"/>
      <c r="AF10" s="600" t="s">
        <v>1555</v>
      </c>
      <c r="AG10" s="600"/>
      <c r="AH10" s="601" t="s">
        <v>1556</v>
      </c>
      <c r="AI10" s="601"/>
      <c r="AJ10" s="601" t="s">
        <v>1558</v>
      </c>
      <c r="AK10" s="601"/>
      <c r="AL10" s="599" t="s">
        <v>1555</v>
      </c>
      <c r="AM10" s="599"/>
      <c r="AN10" s="600" t="s">
        <v>1555</v>
      </c>
      <c r="AO10" s="600"/>
      <c r="AP10" s="601" t="s">
        <v>1556</v>
      </c>
      <c r="AQ10" s="601"/>
      <c r="AR10" s="601" t="s">
        <v>1557</v>
      </c>
      <c r="AS10" s="601"/>
      <c r="AT10" s="599" t="s">
        <v>1555</v>
      </c>
      <c r="AU10" s="599"/>
      <c r="AV10" s="600" t="s">
        <v>1555</v>
      </c>
      <c r="AW10" s="600"/>
      <c r="AX10" s="601" t="s">
        <v>1556</v>
      </c>
      <c r="AY10" s="601"/>
      <c r="AZ10" s="599" t="s">
        <v>1555</v>
      </c>
      <c r="BA10" s="599"/>
      <c r="BB10" s="600" t="s">
        <v>1555</v>
      </c>
      <c r="BC10" s="600"/>
      <c r="BD10" s="601" t="s">
        <v>1556</v>
      </c>
      <c r="BE10" s="601"/>
      <c r="BF10" s="601" t="s">
        <v>1557</v>
      </c>
      <c r="BG10" s="601"/>
      <c r="BH10" s="708"/>
      <c r="BI10" s="602" t="s">
        <v>301</v>
      </c>
      <c r="BJ10" s="726" t="s">
        <v>124</v>
      </c>
    </row>
    <row r="11" spans="1:62">
      <c r="A11" s="590"/>
      <c r="B11" s="702"/>
      <c r="C11" s="702"/>
      <c r="D11" s="702"/>
      <c r="E11" s="702"/>
      <c r="F11" s="706"/>
      <c r="G11" s="702"/>
      <c r="H11" s="702"/>
      <c r="I11" s="702"/>
      <c r="J11" s="702"/>
      <c r="K11" s="702"/>
      <c r="L11" s="702"/>
      <c r="M11" s="702"/>
      <c r="N11" s="702"/>
      <c r="O11" s="702"/>
      <c r="Q11" s="702"/>
      <c r="R11" s="702"/>
      <c r="S11" s="702"/>
      <c r="T11" s="592"/>
      <c r="U11" s="592"/>
      <c r="V11" s="603"/>
      <c r="W11" s="603"/>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I11" s="590"/>
      <c r="BJ11" s="590"/>
    </row>
    <row r="12" spans="1:62">
      <c r="A12" s="590">
        <v>100</v>
      </c>
      <c r="B12" s="702" t="s">
        <v>1559</v>
      </c>
      <c r="C12" s="702"/>
      <c r="D12" s="702" t="s">
        <v>1736</v>
      </c>
      <c r="E12" s="702"/>
      <c r="F12" s="706" t="s">
        <v>1766</v>
      </c>
      <c r="G12" s="702"/>
      <c r="H12" s="605">
        <f>+H26</f>
        <v>0</v>
      </c>
      <c r="I12" s="702"/>
      <c r="J12" s="605">
        <f>+J26</f>
        <v>0</v>
      </c>
      <c r="K12" s="702"/>
      <c r="L12" s="605">
        <f>+L26</f>
        <v>0</v>
      </c>
      <c r="M12" s="702"/>
      <c r="N12" s="605">
        <f>+N26</f>
        <v>0</v>
      </c>
      <c r="O12" s="605"/>
      <c r="Q12" s="702"/>
      <c r="R12" s="706" t="s">
        <v>1762</v>
      </c>
      <c r="S12" s="702"/>
      <c r="T12" s="605">
        <f>T26</f>
        <v>0</v>
      </c>
      <c r="U12" s="605"/>
      <c r="V12" s="605">
        <f>V26</f>
        <v>0</v>
      </c>
      <c r="W12" s="605"/>
      <c r="X12" s="605">
        <f>X26</f>
        <v>0</v>
      </c>
      <c r="Y12" s="605"/>
      <c r="Z12" s="605">
        <f>SUM(T12:X12)</f>
        <v>0</v>
      </c>
      <c r="AA12" s="605"/>
      <c r="AB12" s="607" t="s">
        <v>1560</v>
      </c>
      <c r="AC12" s="605"/>
      <c r="AD12" s="605">
        <f>AD26</f>
        <v>0</v>
      </c>
      <c r="AE12" s="605"/>
      <c r="AF12" s="605">
        <f>AF26</f>
        <v>0</v>
      </c>
      <c r="AG12" s="605"/>
      <c r="AH12" s="605">
        <f>AH26</f>
        <v>0</v>
      </c>
      <c r="AI12" s="605"/>
      <c r="AJ12" s="706" t="s">
        <v>1772</v>
      </c>
      <c r="AK12" s="605"/>
      <c r="AL12" s="605">
        <f>AL26</f>
        <v>0</v>
      </c>
      <c r="AM12" s="605"/>
      <c r="AN12" s="605">
        <f>AN26</f>
        <v>0</v>
      </c>
      <c r="AO12" s="605"/>
      <c r="AP12" s="605">
        <f>AP26</f>
        <v>0</v>
      </c>
      <c r="AQ12" s="605"/>
      <c r="AR12" s="605">
        <f>SUM(AL12:AP12)</f>
        <v>0</v>
      </c>
      <c r="AS12" s="605"/>
      <c r="AT12" s="605">
        <f>AT26</f>
        <v>0</v>
      </c>
      <c r="AU12" s="605"/>
      <c r="AV12" s="605">
        <f>AV26</f>
        <v>0</v>
      </c>
      <c r="AW12" s="605"/>
      <c r="AX12" s="605">
        <f>AX26</f>
        <v>0</v>
      </c>
      <c r="AY12" s="605"/>
      <c r="AZ12" s="605">
        <f>AZ26</f>
        <v>0</v>
      </c>
      <c r="BA12" s="605"/>
      <c r="BB12" s="605">
        <f>BB26</f>
        <v>0</v>
      </c>
      <c r="BC12" s="605"/>
      <c r="BD12" s="605">
        <f>BD26</f>
        <v>0</v>
      </c>
      <c r="BE12" s="605"/>
      <c r="BF12" s="605">
        <f>SUM(AZ12:BD12)</f>
        <v>0</v>
      </c>
      <c r="BG12" s="605"/>
      <c r="BH12" s="605">
        <f>+BH26</f>
        <v>0</v>
      </c>
      <c r="BI12" s="590"/>
      <c r="BJ12" s="590">
        <f t="shared" ref="BJ12:BJ17" si="0">A12</f>
        <v>100</v>
      </c>
    </row>
    <row r="13" spans="1:62">
      <c r="A13" s="590">
        <f>+A12+1</f>
        <v>101</v>
      </c>
      <c r="B13" s="702" t="s">
        <v>401</v>
      </c>
      <c r="C13" s="702"/>
      <c r="D13" s="702" t="s">
        <v>1737</v>
      </c>
      <c r="E13" s="702"/>
      <c r="F13" s="706" t="s">
        <v>1766</v>
      </c>
      <c r="G13" s="702"/>
      <c r="H13" s="605">
        <f>+H34</f>
        <v>0</v>
      </c>
      <c r="I13" s="702"/>
      <c r="J13" s="605">
        <f>+J34</f>
        <v>0</v>
      </c>
      <c r="K13" s="702"/>
      <c r="L13" s="605">
        <f>+L34</f>
        <v>0</v>
      </c>
      <c r="M13" s="702"/>
      <c r="N13" s="605">
        <f>+N34</f>
        <v>0</v>
      </c>
      <c r="O13" s="605"/>
      <c r="Q13" s="702"/>
      <c r="R13" s="706" t="s">
        <v>1762</v>
      </c>
      <c r="S13" s="702"/>
      <c r="T13" s="605">
        <f>T34</f>
        <v>0</v>
      </c>
      <c r="U13" s="605"/>
      <c r="V13" s="605">
        <f>V34</f>
        <v>0</v>
      </c>
      <c r="W13" s="605"/>
      <c r="X13" s="605">
        <f>X34</f>
        <v>0</v>
      </c>
      <c r="Y13" s="605"/>
      <c r="Z13" s="605">
        <f t="shared" ref="Z13:Z16" si="1">SUM(T13:X13)</f>
        <v>0</v>
      </c>
      <c r="AA13" s="605"/>
      <c r="AB13" s="607" t="s">
        <v>1560</v>
      </c>
      <c r="AC13" s="605"/>
      <c r="AD13" s="605">
        <f>AD34</f>
        <v>0</v>
      </c>
      <c r="AE13" s="605"/>
      <c r="AF13" s="605">
        <f>AF34</f>
        <v>0</v>
      </c>
      <c r="AG13" s="605"/>
      <c r="AH13" s="605">
        <f>AH34</f>
        <v>0</v>
      </c>
      <c r="AI13" s="605"/>
      <c r="AJ13" s="706" t="s">
        <v>1772</v>
      </c>
      <c r="AK13" s="605"/>
      <c r="AL13" s="605">
        <f>AL34</f>
        <v>0</v>
      </c>
      <c r="AM13" s="605"/>
      <c r="AN13" s="605">
        <f>AN34</f>
        <v>0</v>
      </c>
      <c r="AO13" s="605"/>
      <c r="AP13" s="605">
        <f>AP34</f>
        <v>0</v>
      </c>
      <c r="AQ13" s="605"/>
      <c r="AR13" s="605">
        <f t="shared" ref="AR13:AR16" si="2">SUM(AL13:AP13)</f>
        <v>0</v>
      </c>
      <c r="AS13" s="605"/>
      <c r="AT13" s="605">
        <f>AT34</f>
        <v>0</v>
      </c>
      <c r="AU13" s="605"/>
      <c r="AV13" s="605">
        <f>AV34</f>
        <v>0</v>
      </c>
      <c r="AW13" s="605"/>
      <c r="AX13" s="605">
        <f>AX34</f>
        <v>0</v>
      </c>
      <c r="AY13" s="605"/>
      <c r="AZ13" s="605">
        <f>AZ34</f>
        <v>0</v>
      </c>
      <c r="BA13" s="605"/>
      <c r="BB13" s="605">
        <f>BB34</f>
        <v>0</v>
      </c>
      <c r="BC13" s="605"/>
      <c r="BD13" s="605">
        <f>BD34</f>
        <v>0</v>
      </c>
      <c r="BE13" s="605"/>
      <c r="BF13" s="605">
        <f t="shared" ref="BF13:BF16" si="3">SUM(AZ13:BD13)</f>
        <v>0</v>
      </c>
      <c r="BG13" s="605"/>
      <c r="BH13" s="605">
        <f>+BH34</f>
        <v>0</v>
      </c>
      <c r="BI13" s="590"/>
      <c r="BJ13" s="590">
        <f t="shared" si="0"/>
        <v>101</v>
      </c>
    </row>
    <row r="14" spans="1:62">
      <c r="A14" s="590">
        <f t="shared" ref="A14:A15" si="4">+A13+1</f>
        <v>102</v>
      </c>
      <c r="B14" s="702" t="s">
        <v>1561</v>
      </c>
      <c r="C14" s="702"/>
      <c r="D14" s="702" t="s">
        <v>1738</v>
      </c>
      <c r="E14" s="702"/>
      <c r="F14" s="706" t="s">
        <v>1766</v>
      </c>
      <c r="G14" s="702"/>
      <c r="H14" s="605">
        <f>+H42</f>
        <v>0</v>
      </c>
      <c r="I14" s="702"/>
      <c r="J14" s="605">
        <f>+J42</f>
        <v>0</v>
      </c>
      <c r="K14" s="702"/>
      <c r="L14" s="605">
        <f>+L42</f>
        <v>0</v>
      </c>
      <c r="M14" s="702"/>
      <c r="N14" s="605">
        <f>+N42</f>
        <v>0</v>
      </c>
      <c r="O14" s="605"/>
      <c r="Q14" s="702"/>
      <c r="R14" s="706" t="s">
        <v>1762</v>
      </c>
      <c r="S14" s="702"/>
      <c r="T14" s="605">
        <f>T42</f>
        <v>0</v>
      </c>
      <c r="U14" s="605"/>
      <c r="V14" s="605">
        <f>V42</f>
        <v>0</v>
      </c>
      <c r="W14" s="605"/>
      <c r="X14" s="605">
        <f>X42</f>
        <v>0</v>
      </c>
      <c r="Y14" s="605"/>
      <c r="Z14" s="605">
        <f t="shared" si="1"/>
        <v>0</v>
      </c>
      <c r="AA14" s="605"/>
      <c r="AB14" s="607" t="s">
        <v>1770</v>
      </c>
      <c r="AC14" s="605"/>
      <c r="AD14" s="605">
        <f>AD42</f>
        <v>0</v>
      </c>
      <c r="AE14" s="605"/>
      <c r="AF14" s="605">
        <f>AF42</f>
        <v>0</v>
      </c>
      <c r="AG14" s="605"/>
      <c r="AH14" s="605">
        <f>AH42</f>
        <v>0</v>
      </c>
      <c r="AI14" s="605"/>
      <c r="AJ14" s="706" t="s">
        <v>1772</v>
      </c>
      <c r="AK14" s="605"/>
      <c r="AL14" s="605">
        <f>AL42</f>
        <v>0</v>
      </c>
      <c r="AM14" s="605"/>
      <c r="AN14" s="605">
        <f>AN42</f>
        <v>0</v>
      </c>
      <c r="AO14" s="605"/>
      <c r="AP14" s="605">
        <f>AP42</f>
        <v>0</v>
      </c>
      <c r="AQ14" s="605"/>
      <c r="AR14" s="605">
        <f t="shared" si="2"/>
        <v>0</v>
      </c>
      <c r="AS14" s="605"/>
      <c r="AT14" s="605">
        <f>AT42</f>
        <v>0</v>
      </c>
      <c r="AU14" s="605"/>
      <c r="AV14" s="605">
        <f>AV42</f>
        <v>0</v>
      </c>
      <c r="AW14" s="605"/>
      <c r="AX14" s="605">
        <f>AX42</f>
        <v>0</v>
      </c>
      <c r="AY14" s="605"/>
      <c r="AZ14" s="605">
        <f>AZ42</f>
        <v>0</v>
      </c>
      <c r="BA14" s="605"/>
      <c r="BB14" s="605">
        <f>BB42</f>
        <v>0</v>
      </c>
      <c r="BC14" s="605"/>
      <c r="BD14" s="605">
        <f>BD42</f>
        <v>0</v>
      </c>
      <c r="BE14" s="605"/>
      <c r="BF14" s="605">
        <f t="shared" si="3"/>
        <v>0</v>
      </c>
      <c r="BG14" s="605"/>
      <c r="BH14" s="605">
        <f>+BH42</f>
        <v>0</v>
      </c>
      <c r="BI14" s="590"/>
      <c r="BJ14" s="590">
        <f t="shared" si="0"/>
        <v>102</v>
      </c>
    </row>
    <row r="15" spans="1:62">
      <c r="A15" s="590">
        <f t="shared" si="4"/>
        <v>103</v>
      </c>
      <c r="B15" s="702" t="s">
        <v>1562</v>
      </c>
      <c r="C15" s="702"/>
      <c r="D15" s="702" t="s">
        <v>1739</v>
      </c>
      <c r="E15" s="702"/>
      <c r="F15" s="706" t="s">
        <v>1767</v>
      </c>
      <c r="G15" s="702"/>
      <c r="H15" s="605">
        <f>+H102</f>
        <v>0</v>
      </c>
      <c r="I15" s="702"/>
      <c r="J15" s="605">
        <f>+J102</f>
        <v>0</v>
      </c>
      <c r="K15" s="702"/>
      <c r="L15" s="605">
        <f>+L102</f>
        <v>0</v>
      </c>
      <c r="M15" s="702"/>
      <c r="N15" s="605">
        <f>+N102</f>
        <v>0</v>
      </c>
      <c r="O15" s="605"/>
      <c r="Q15" s="702"/>
      <c r="R15" s="706" t="s">
        <v>1763</v>
      </c>
      <c r="S15" s="702"/>
      <c r="T15" s="605">
        <f>T102</f>
        <v>0</v>
      </c>
      <c r="U15" s="605"/>
      <c r="V15" s="605">
        <f>V102</f>
        <v>0</v>
      </c>
      <c r="W15" s="605"/>
      <c r="X15" s="605">
        <f>X102</f>
        <v>0</v>
      </c>
      <c r="Y15" s="605"/>
      <c r="Z15" s="605">
        <f>SUM(T15:X15)</f>
        <v>0</v>
      </c>
      <c r="AA15" s="605"/>
      <c r="AB15" s="607" t="s">
        <v>1785</v>
      </c>
      <c r="AC15" s="605"/>
      <c r="AD15" s="605">
        <f>AD102</f>
        <v>0</v>
      </c>
      <c r="AE15" s="605"/>
      <c r="AF15" s="605">
        <f>AF102</f>
        <v>0</v>
      </c>
      <c r="AG15" s="605"/>
      <c r="AH15" s="605">
        <f>AH102</f>
        <v>0</v>
      </c>
      <c r="AI15" s="605"/>
      <c r="AJ15" s="706" t="s">
        <v>1773</v>
      </c>
      <c r="AK15" s="605"/>
      <c r="AL15" s="605">
        <f>AL102</f>
        <v>0</v>
      </c>
      <c r="AM15" s="605"/>
      <c r="AN15" s="605">
        <f>AN102</f>
        <v>0</v>
      </c>
      <c r="AO15" s="605"/>
      <c r="AP15" s="605">
        <f>AP102</f>
        <v>0</v>
      </c>
      <c r="AQ15" s="605"/>
      <c r="AR15" s="605">
        <f t="shared" si="2"/>
        <v>0</v>
      </c>
      <c r="AS15" s="605"/>
      <c r="AT15" s="605">
        <f>AT102</f>
        <v>0</v>
      </c>
      <c r="AU15" s="605"/>
      <c r="AV15" s="605">
        <f>AV102</f>
        <v>0</v>
      </c>
      <c r="AW15" s="605"/>
      <c r="AX15" s="605">
        <f>AX102</f>
        <v>0</v>
      </c>
      <c r="AY15" s="605"/>
      <c r="AZ15" s="605">
        <f>AZ102</f>
        <v>0</v>
      </c>
      <c r="BA15" s="605"/>
      <c r="BB15" s="605">
        <f>BB102</f>
        <v>0</v>
      </c>
      <c r="BC15" s="605"/>
      <c r="BD15" s="605">
        <f>BD102</f>
        <v>0</v>
      </c>
      <c r="BE15" s="605"/>
      <c r="BF15" s="605">
        <f t="shared" si="3"/>
        <v>0</v>
      </c>
      <c r="BG15" s="605"/>
      <c r="BH15" s="605">
        <f>+BH102</f>
        <v>0</v>
      </c>
      <c r="BI15" s="590"/>
      <c r="BJ15" s="590">
        <f t="shared" si="0"/>
        <v>103</v>
      </c>
    </row>
    <row r="16" spans="1:62">
      <c r="A16" s="590">
        <f>+A15+1</f>
        <v>104</v>
      </c>
      <c r="B16" s="702" t="s">
        <v>1563</v>
      </c>
      <c r="C16" s="702" t="s">
        <v>1564</v>
      </c>
      <c r="D16" s="702" t="s">
        <v>1740</v>
      </c>
      <c r="E16" s="702"/>
      <c r="F16" s="706" t="s">
        <v>1768</v>
      </c>
      <c r="G16" s="702"/>
      <c r="H16" s="608">
        <f>+H115</f>
        <v>0</v>
      </c>
      <c r="I16" s="702"/>
      <c r="J16" s="608">
        <f>+J115</f>
        <v>0</v>
      </c>
      <c r="K16" s="702"/>
      <c r="L16" s="608">
        <f>+L115</f>
        <v>0</v>
      </c>
      <c r="M16" s="702"/>
      <c r="N16" s="608">
        <f>+N115</f>
        <v>0</v>
      </c>
      <c r="O16" s="605"/>
      <c r="Q16" s="702"/>
      <c r="R16" s="706" t="s">
        <v>1763</v>
      </c>
      <c r="S16" s="702"/>
      <c r="T16" s="608">
        <f>T115</f>
        <v>0</v>
      </c>
      <c r="U16" s="608"/>
      <c r="V16" s="608">
        <f t="shared" ref="V16" si="5">V115</f>
        <v>0</v>
      </c>
      <c r="W16" s="608"/>
      <c r="X16" s="608">
        <f t="shared" ref="X16" si="6">X115</f>
        <v>0</v>
      </c>
      <c r="Y16" s="608"/>
      <c r="Z16" s="608">
        <f t="shared" si="1"/>
        <v>0</v>
      </c>
      <c r="AA16" s="605"/>
      <c r="AB16" s="607" t="s">
        <v>1560</v>
      </c>
      <c r="AC16" s="605"/>
      <c r="AD16" s="608">
        <f>AD115</f>
        <v>0</v>
      </c>
      <c r="AE16" s="608"/>
      <c r="AF16" s="608">
        <f t="shared" ref="AF16:AH16" si="7">AF115</f>
        <v>0</v>
      </c>
      <c r="AG16" s="608"/>
      <c r="AH16" s="608">
        <f t="shared" si="7"/>
        <v>0</v>
      </c>
      <c r="AI16" s="605"/>
      <c r="AJ16" s="706" t="s">
        <v>1773</v>
      </c>
      <c r="AK16" s="605"/>
      <c r="AL16" s="608">
        <f>AL115</f>
        <v>0</v>
      </c>
      <c r="AM16" s="608"/>
      <c r="AN16" s="608">
        <f t="shared" ref="AN16" si="8">AN115</f>
        <v>0</v>
      </c>
      <c r="AO16" s="608"/>
      <c r="AP16" s="608">
        <f t="shared" ref="AP16" si="9">AP115</f>
        <v>0</v>
      </c>
      <c r="AQ16" s="608"/>
      <c r="AR16" s="608">
        <f t="shared" si="2"/>
        <v>0</v>
      </c>
      <c r="AS16" s="605"/>
      <c r="AT16" s="608">
        <f>AT115</f>
        <v>0</v>
      </c>
      <c r="AU16" s="608"/>
      <c r="AV16" s="608">
        <f t="shared" ref="AV16:AX16" si="10">AV115</f>
        <v>0</v>
      </c>
      <c r="AW16" s="608"/>
      <c r="AX16" s="608">
        <f t="shared" si="10"/>
        <v>0</v>
      </c>
      <c r="AY16" s="605"/>
      <c r="AZ16" s="608">
        <f>AZ115</f>
        <v>0</v>
      </c>
      <c r="BA16" s="608"/>
      <c r="BB16" s="608">
        <f t="shared" ref="BB16" si="11">BB115</f>
        <v>0</v>
      </c>
      <c r="BC16" s="608"/>
      <c r="BD16" s="608">
        <f t="shared" ref="BD16" si="12">BD115</f>
        <v>0</v>
      </c>
      <c r="BE16" s="608"/>
      <c r="BF16" s="608">
        <f t="shared" si="3"/>
        <v>0</v>
      </c>
      <c r="BG16" s="605"/>
      <c r="BH16" s="608">
        <f>+BH115</f>
        <v>0</v>
      </c>
      <c r="BI16" s="590"/>
      <c r="BJ16" s="590">
        <f t="shared" si="0"/>
        <v>104</v>
      </c>
    </row>
    <row r="17" spans="1:62">
      <c r="A17" s="590">
        <f>+A16+1</f>
        <v>105</v>
      </c>
      <c r="B17" s="702" t="s">
        <v>361</v>
      </c>
      <c r="C17" s="702"/>
      <c r="D17" s="590"/>
      <c r="E17" s="590"/>
      <c r="F17" s="590"/>
      <c r="G17" s="590"/>
      <c r="H17" s="712">
        <f>SUM(H12:H16)</f>
        <v>0</v>
      </c>
      <c r="I17" s="590"/>
      <c r="J17" s="712">
        <f>SUM(J12:J16)</f>
        <v>0</v>
      </c>
      <c r="K17" s="590"/>
      <c r="L17" s="712">
        <f>SUM(L12:L16)</f>
        <v>0</v>
      </c>
      <c r="M17" s="590"/>
      <c r="N17" s="712">
        <f>SUM(N12:N16)</f>
        <v>0</v>
      </c>
      <c r="O17" s="712"/>
      <c r="Q17" s="590"/>
      <c r="R17" s="590"/>
      <c r="S17" s="590"/>
      <c r="T17" s="712">
        <f>SUM(T12:T16)</f>
        <v>0</v>
      </c>
      <c r="U17" s="712"/>
      <c r="V17" s="712">
        <f>SUM(V12:V16)</f>
        <v>0</v>
      </c>
      <c r="W17" s="712"/>
      <c r="X17" s="712">
        <f>SUM(X12:X16)</f>
        <v>0</v>
      </c>
      <c r="Y17" s="712"/>
      <c r="Z17" s="712">
        <f>SUM(Z12:Z16)</f>
        <v>0</v>
      </c>
      <c r="AA17" s="712"/>
      <c r="AB17" s="712"/>
      <c r="AC17" s="712"/>
      <c r="AD17" s="712">
        <f>SUM(AD12:AD16)</f>
        <v>0</v>
      </c>
      <c r="AE17" s="712"/>
      <c r="AF17" s="712">
        <f>SUM(AF12:AF16)</f>
        <v>0</v>
      </c>
      <c r="AG17" s="712"/>
      <c r="AH17" s="712">
        <f>SUM(AH12:AH16)</f>
        <v>0</v>
      </c>
      <c r="AI17" s="712"/>
      <c r="AJ17" s="590"/>
      <c r="AK17" s="712"/>
      <c r="AL17" s="712">
        <f>SUM(AL12:AL16)</f>
        <v>0</v>
      </c>
      <c r="AM17" s="712"/>
      <c r="AN17" s="712">
        <f>SUM(AN12:AN16)</f>
        <v>0</v>
      </c>
      <c r="AO17" s="712"/>
      <c r="AP17" s="712">
        <f>SUM(AP12:AP16)</f>
        <v>0</v>
      </c>
      <c r="AQ17" s="712"/>
      <c r="AR17" s="712">
        <f>SUM(AR12:AR16)</f>
        <v>0</v>
      </c>
      <c r="AS17" s="712"/>
      <c r="AT17" s="712">
        <f>SUM(AT12:AT16)</f>
        <v>0</v>
      </c>
      <c r="AU17" s="712"/>
      <c r="AV17" s="712">
        <f>SUM(AV12:AV16)</f>
        <v>0</v>
      </c>
      <c r="AW17" s="712"/>
      <c r="AX17" s="712">
        <f>SUM(AX12:AX16)</f>
        <v>0</v>
      </c>
      <c r="AY17" s="712"/>
      <c r="AZ17" s="712">
        <f>SUM(AZ12:AZ16)</f>
        <v>0</v>
      </c>
      <c r="BA17" s="712"/>
      <c r="BB17" s="712">
        <f>SUM(BB12:BB16)</f>
        <v>0</v>
      </c>
      <c r="BC17" s="712"/>
      <c r="BD17" s="712">
        <f>SUM(BD12:BD16)</f>
        <v>0</v>
      </c>
      <c r="BE17" s="712"/>
      <c r="BF17" s="712">
        <f>SUM(BF12:BF16)</f>
        <v>0</v>
      </c>
      <c r="BG17" s="712"/>
      <c r="BH17" s="712">
        <f>SUM(BH12:BH16)</f>
        <v>0</v>
      </c>
      <c r="BI17" s="727"/>
      <c r="BJ17" s="590">
        <f t="shared" si="0"/>
        <v>105</v>
      </c>
    </row>
    <row r="18" spans="1:62">
      <c r="A18" s="590"/>
      <c r="B18" s="702"/>
      <c r="C18" s="702"/>
      <c r="D18" s="590"/>
      <c r="E18" s="590"/>
      <c r="F18" s="590"/>
      <c r="G18" s="590"/>
      <c r="H18" s="590"/>
      <c r="I18" s="590"/>
      <c r="J18" s="590"/>
      <c r="K18" s="590"/>
      <c r="L18" s="590"/>
      <c r="M18" s="590"/>
      <c r="N18" s="590"/>
      <c r="O18" s="590"/>
      <c r="Q18" s="590"/>
      <c r="R18" s="590"/>
      <c r="S18" s="590"/>
      <c r="T18" s="702"/>
      <c r="U18" s="702"/>
      <c r="V18" s="702"/>
      <c r="W18" s="702"/>
      <c r="X18" s="702"/>
      <c r="Y18" s="702"/>
      <c r="Z18" s="702"/>
      <c r="AA18" s="702"/>
      <c r="AB18" s="702"/>
      <c r="AC18" s="702"/>
      <c r="AD18" s="702"/>
      <c r="AE18" s="702"/>
      <c r="AF18" s="702"/>
      <c r="AG18" s="702"/>
      <c r="AH18" s="702"/>
      <c r="AI18" s="702"/>
      <c r="AJ18" s="590"/>
      <c r="AK18" s="702"/>
      <c r="AL18" s="702"/>
      <c r="AM18" s="702"/>
      <c r="AN18" s="702"/>
      <c r="AO18" s="702"/>
      <c r="AP18" s="702"/>
      <c r="AQ18" s="702"/>
      <c r="AR18" s="702"/>
      <c r="AS18" s="702"/>
      <c r="AT18" s="702"/>
      <c r="AU18" s="702"/>
      <c r="AV18" s="702"/>
      <c r="AW18" s="702"/>
      <c r="AX18" s="702"/>
      <c r="AY18" s="702"/>
      <c r="AZ18" s="702"/>
      <c r="BA18" s="702"/>
      <c r="BB18" s="702"/>
      <c r="BC18" s="702"/>
      <c r="BD18" s="702"/>
      <c r="BE18" s="702"/>
      <c r="BF18" s="702"/>
      <c r="BG18" s="702"/>
      <c r="BH18" s="590"/>
      <c r="BI18" s="727"/>
      <c r="BJ18" s="590"/>
    </row>
    <row r="19" spans="1:62">
      <c r="A19" s="590">
        <f>+A17+1</f>
        <v>106</v>
      </c>
      <c r="B19" s="728" t="s">
        <v>1565</v>
      </c>
      <c r="C19" s="728"/>
      <c r="D19" s="589"/>
      <c r="E19" s="590"/>
      <c r="F19" s="590"/>
      <c r="G19" s="590"/>
      <c r="H19" s="590"/>
      <c r="I19" s="590"/>
      <c r="J19" s="590"/>
      <c r="K19" s="590"/>
      <c r="L19" s="590"/>
      <c r="M19" s="590"/>
      <c r="N19" s="590"/>
      <c r="O19" s="590"/>
      <c r="Q19" s="590"/>
      <c r="R19" s="590"/>
      <c r="S19" s="590"/>
      <c r="T19" s="702"/>
      <c r="U19" s="702"/>
      <c r="V19" s="702"/>
      <c r="W19" s="702"/>
      <c r="X19" s="702"/>
      <c r="Y19" s="702"/>
      <c r="Z19" s="702"/>
      <c r="AA19" s="702"/>
      <c r="AB19" s="702"/>
      <c r="AC19" s="702"/>
      <c r="AD19" s="702"/>
      <c r="AE19" s="702"/>
      <c r="AF19" s="702"/>
      <c r="AG19" s="702"/>
      <c r="AH19" s="702"/>
      <c r="AI19" s="702"/>
      <c r="AJ19" s="590"/>
      <c r="AK19" s="702"/>
      <c r="AL19" s="702"/>
      <c r="AM19" s="702"/>
      <c r="AN19" s="702"/>
      <c r="AO19" s="702"/>
      <c r="AP19" s="702"/>
      <c r="AQ19" s="702"/>
      <c r="AR19" s="702"/>
      <c r="AS19" s="702"/>
      <c r="AT19" s="702"/>
      <c r="AU19" s="702"/>
      <c r="AV19" s="702"/>
      <c r="AW19" s="702"/>
      <c r="AX19" s="702"/>
      <c r="AY19" s="702"/>
      <c r="AZ19" s="702"/>
      <c r="BA19" s="702"/>
      <c r="BB19" s="702"/>
      <c r="BC19" s="702"/>
      <c r="BD19" s="702"/>
      <c r="BE19" s="702"/>
      <c r="BF19" s="702"/>
      <c r="BG19" s="702"/>
      <c r="BH19" s="590"/>
      <c r="BI19" s="612"/>
      <c r="BJ19" s="590">
        <f>A19</f>
        <v>106</v>
      </c>
    </row>
    <row r="20" spans="1:62">
      <c r="A20" s="590">
        <f>+A19+1</f>
        <v>107</v>
      </c>
      <c r="B20" s="706" t="s">
        <v>1786</v>
      </c>
      <c r="C20" s="702" t="s">
        <v>1787</v>
      </c>
      <c r="D20" s="590"/>
      <c r="E20" s="590"/>
      <c r="F20" s="590"/>
      <c r="G20" s="590"/>
      <c r="H20" s="712">
        <f>+H124</f>
        <v>0</v>
      </c>
      <c r="I20" s="590"/>
      <c r="J20" s="712">
        <f>+J124</f>
        <v>0</v>
      </c>
      <c r="K20" s="712"/>
      <c r="L20" s="712">
        <f>+L124</f>
        <v>0</v>
      </c>
      <c r="M20" s="712"/>
      <c r="N20" s="712">
        <f>N124</f>
        <v>0</v>
      </c>
      <c r="O20" s="712"/>
      <c r="Q20" s="712"/>
      <c r="R20" s="706" t="s">
        <v>1764</v>
      </c>
      <c r="S20" s="590"/>
      <c r="T20" s="712">
        <f>T123</f>
        <v>0</v>
      </c>
      <c r="U20" s="712"/>
      <c r="V20" s="712">
        <f>V123</f>
        <v>0</v>
      </c>
      <c r="W20" s="712"/>
      <c r="X20" s="712">
        <f>X123</f>
        <v>0</v>
      </c>
      <c r="Y20" s="712"/>
      <c r="Z20" s="712">
        <f>SUM(T20:X20)</f>
        <v>0</v>
      </c>
      <c r="AA20" s="712"/>
      <c r="AB20" s="607" t="s">
        <v>1560</v>
      </c>
      <c r="AC20" s="712"/>
      <c r="AD20" s="712">
        <f>AD123</f>
        <v>0</v>
      </c>
      <c r="AE20" s="712"/>
      <c r="AF20" s="712">
        <f>AF123</f>
        <v>0</v>
      </c>
      <c r="AG20" s="712"/>
      <c r="AH20" s="712">
        <f>AH123</f>
        <v>0</v>
      </c>
      <c r="AI20" s="712"/>
      <c r="AJ20" s="706" t="s">
        <v>1764</v>
      </c>
      <c r="AK20" s="712"/>
      <c r="AL20" s="712">
        <f>AL123</f>
        <v>0</v>
      </c>
      <c r="AM20" s="712"/>
      <c r="AN20" s="712">
        <f>AN123</f>
        <v>0</v>
      </c>
      <c r="AO20" s="712"/>
      <c r="AP20" s="712">
        <f>AP123</f>
        <v>0</v>
      </c>
      <c r="AQ20" s="712"/>
      <c r="AR20" s="712">
        <f t="shared" ref="AR20:AR22" si="13">SUM(AL20:AP20)</f>
        <v>0</v>
      </c>
      <c r="AS20" s="712"/>
      <c r="AT20" s="712">
        <f>AT123</f>
        <v>0</v>
      </c>
      <c r="AU20" s="712"/>
      <c r="AV20" s="712">
        <f>AV123</f>
        <v>0</v>
      </c>
      <c r="AW20" s="712"/>
      <c r="AX20" s="712">
        <f>AX123</f>
        <v>0</v>
      </c>
      <c r="AY20" s="712"/>
      <c r="AZ20" s="605">
        <f>+AL20+AT20</f>
        <v>0</v>
      </c>
      <c r="BA20" s="712"/>
      <c r="BB20" s="605">
        <f>+AN20+AV20</f>
        <v>0</v>
      </c>
      <c r="BC20" s="712"/>
      <c r="BD20" s="605">
        <f>+AP20+AX20</f>
        <v>0</v>
      </c>
      <c r="BE20" s="712"/>
      <c r="BF20" s="712">
        <f>SUM(AZ20:BD20)</f>
        <v>0</v>
      </c>
      <c r="BG20" s="712"/>
      <c r="BH20" s="712">
        <f>BH124</f>
        <v>0</v>
      </c>
      <c r="BI20" s="727"/>
      <c r="BJ20" s="590">
        <f>A20</f>
        <v>107</v>
      </c>
    </row>
    <row r="21" spans="1:62">
      <c r="A21" s="590">
        <f t="shared" ref="A21:A30" si="14">A20+1</f>
        <v>108</v>
      </c>
      <c r="B21" s="706" t="s">
        <v>640</v>
      </c>
      <c r="C21" s="702"/>
      <c r="D21" s="590"/>
      <c r="E21" s="590"/>
      <c r="F21" s="590"/>
      <c r="G21" s="590"/>
      <c r="H21" s="712">
        <f t="shared" ref="H21:H22" si="15">+H125</f>
        <v>0</v>
      </c>
      <c r="I21" s="590"/>
      <c r="J21" s="712">
        <f t="shared" ref="J21:L22" si="16">+J125</f>
        <v>0</v>
      </c>
      <c r="K21" s="712"/>
      <c r="L21" s="712">
        <f t="shared" si="16"/>
        <v>0</v>
      </c>
      <c r="M21" s="712"/>
      <c r="N21" s="712">
        <f t="shared" ref="N21:N22" si="17">N125</f>
        <v>0</v>
      </c>
      <c r="O21" s="712"/>
      <c r="Q21" s="712"/>
      <c r="R21" s="706" t="s">
        <v>1764</v>
      </c>
      <c r="S21" s="590"/>
      <c r="T21" s="712">
        <f t="shared" ref="T21:T22" si="18">T124</f>
        <v>0</v>
      </c>
      <c r="U21" s="712"/>
      <c r="V21" s="712">
        <f t="shared" ref="V21:V22" si="19">V124</f>
        <v>0</v>
      </c>
      <c r="W21" s="712"/>
      <c r="X21" s="712">
        <f t="shared" ref="X21:X22" si="20">X124</f>
        <v>0</v>
      </c>
      <c r="Y21" s="712"/>
      <c r="Z21" s="712">
        <f t="shared" ref="Z21:Z22" si="21">SUM(T21:X21)</f>
        <v>0</v>
      </c>
      <c r="AA21" s="712"/>
      <c r="AB21" s="607" t="s">
        <v>1560</v>
      </c>
      <c r="AC21" s="712"/>
      <c r="AD21" s="712">
        <f t="shared" ref="AD21:AD22" si="22">AD124</f>
        <v>0</v>
      </c>
      <c r="AE21" s="712"/>
      <c r="AF21" s="712">
        <f t="shared" ref="AF21:AF22" si="23">AF124</f>
        <v>0</v>
      </c>
      <c r="AG21" s="712"/>
      <c r="AH21" s="712">
        <f t="shared" ref="AH21:AH22" si="24">AH124</f>
        <v>0</v>
      </c>
      <c r="AI21" s="712"/>
      <c r="AJ21" s="706" t="s">
        <v>1764</v>
      </c>
      <c r="AK21" s="712"/>
      <c r="AL21" s="712">
        <f t="shared" ref="AL21:AL22" si="25">AL124</f>
        <v>0</v>
      </c>
      <c r="AM21" s="712"/>
      <c r="AN21" s="712">
        <f t="shared" ref="AN21:AN22" si="26">AN124</f>
        <v>0</v>
      </c>
      <c r="AO21" s="712"/>
      <c r="AP21" s="712">
        <f t="shared" ref="AP21:AP22" si="27">AP124</f>
        <v>0</v>
      </c>
      <c r="AQ21" s="712"/>
      <c r="AR21" s="712">
        <f t="shared" si="13"/>
        <v>0</v>
      </c>
      <c r="AS21" s="712"/>
      <c r="AT21" s="712">
        <f t="shared" ref="AT21:AT22" si="28">AT124</f>
        <v>0</v>
      </c>
      <c r="AU21" s="712"/>
      <c r="AV21" s="712">
        <f t="shared" ref="AV21:AV22" si="29">AV124</f>
        <v>0</v>
      </c>
      <c r="AW21" s="712"/>
      <c r="AX21" s="712">
        <f t="shared" ref="AX21:AX22" si="30">AX124</f>
        <v>0</v>
      </c>
      <c r="AY21" s="712"/>
      <c r="AZ21" s="605">
        <f t="shared" ref="AZ21:BD22" si="31">+AL21+AT21</f>
        <v>0</v>
      </c>
      <c r="BA21" s="712"/>
      <c r="BB21" s="605">
        <f t="shared" si="31"/>
        <v>0</v>
      </c>
      <c r="BC21" s="712"/>
      <c r="BD21" s="605">
        <f t="shared" si="31"/>
        <v>0</v>
      </c>
      <c r="BE21" s="712"/>
      <c r="BF21" s="712">
        <f t="shared" ref="BF21:BF22" si="32">SUM(AZ21:BD21)</f>
        <v>0</v>
      </c>
      <c r="BG21" s="712"/>
      <c r="BH21" s="712">
        <f>BH125</f>
        <v>0</v>
      </c>
      <c r="BI21" s="612"/>
      <c r="BJ21" s="590">
        <f>A21</f>
        <v>108</v>
      </c>
    </row>
    <row r="22" spans="1:62">
      <c r="A22" s="590">
        <f t="shared" si="14"/>
        <v>109</v>
      </c>
      <c r="B22" s="706" t="s">
        <v>640</v>
      </c>
      <c r="C22" s="702"/>
      <c r="D22" s="590"/>
      <c r="E22" s="590"/>
      <c r="F22" s="590"/>
      <c r="G22" s="590"/>
      <c r="H22" s="721">
        <f t="shared" si="15"/>
        <v>0</v>
      </c>
      <c r="I22" s="590"/>
      <c r="J22" s="721">
        <f t="shared" si="16"/>
        <v>0</v>
      </c>
      <c r="K22" s="721"/>
      <c r="L22" s="721">
        <f t="shared" si="16"/>
        <v>0</v>
      </c>
      <c r="M22" s="721"/>
      <c r="N22" s="721">
        <f t="shared" si="17"/>
        <v>0</v>
      </c>
      <c r="O22" s="721"/>
      <c r="Q22" s="721"/>
      <c r="R22" s="706" t="s">
        <v>1764</v>
      </c>
      <c r="S22" s="590"/>
      <c r="T22" s="721">
        <f t="shared" si="18"/>
        <v>0</v>
      </c>
      <c r="U22" s="721"/>
      <c r="V22" s="721">
        <f t="shared" si="19"/>
        <v>0</v>
      </c>
      <c r="W22" s="721"/>
      <c r="X22" s="721">
        <f t="shared" si="20"/>
        <v>0</v>
      </c>
      <c r="Y22" s="721"/>
      <c r="Z22" s="721">
        <f t="shared" si="21"/>
        <v>0</v>
      </c>
      <c r="AA22" s="712"/>
      <c r="AB22" s="607" t="s">
        <v>1560</v>
      </c>
      <c r="AC22" s="712"/>
      <c r="AD22" s="721">
        <f t="shared" si="22"/>
        <v>0</v>
      </c>
      <c r="AE22" s="721"/>
      <c r="AF22" s="721">
        <f t="shared" si="23"/>
        <v>0</v>
      </c>
      <c r="AG22" s="721"/>
      <c r="AH22" s="721">
        <f t="shared" si="24"/>
        <v>0</v>
      </c>
      <c r="AI22" s="712"/>
      <c r="AJ22" s="706" t="s">
        <v>1764</v>
      </c>
      <c r="AK22" s="712"/>
      <c r="AL22" s="721">
        <f t="shared" si="25"/>
        <v>0</v>
      </c>
      <c r="AM22" s="721"/>
      <c r="AN22" s="721">
        <f t="shared" si="26"/>
        <v>0</v>
      </c>
      <c r="AO22" s="721"/>
      <c r="AP22" s="721">
        <f t="shared" si="27"/>
        <v>0</v>
      </c>
      <c r="AQ22" s="721"/>
      <c r="AR22" s="721">
        <f t="shared" si="13"/>
        <v>0</v>
      </c>
      <c r="AS22" s="712"/>
      <c r="AT22" s="721">
        <f t="shared" si="28"/>
        <v>0</v>
      </c>
      <c r="AU22" s="721"/>
      <c r="AV22" s="721">
        <f t="shared" si="29"/>
        <v>0</v>
      </c>
      <c r="AW22" s="721"/>
      <c r="AX22" s="721">
        <f t="shared" si="30"/>
        <v>0</v>
      </c>
      <c r="AY22" s="712"/>
      <c r="AZ22" s="608">
        <f t="shared" si="31"/>
        <v>0</v>
      </c>
      <c r="BA22" s="721"/>
      <c r="BB22" s="608">
        <f t="shared" si="31"/>
        <v>0</v>
      </c>
      <c r="BC22" s="721"/>
      <c r="BD22" s="608">
        <f t="shared" si="31"/>
        <v>0</v>
      </c>
      <c r="BE22" s="721"/>
      <c r="BF22" s="721">
        <f t="shared" si="32"/>
        <v>0</v>
      </c>
      <c r="BG22" s="712"/>
      <c r="BH22" s="721">
        <f>BH126</f>
        <v>0</v>
      </c>
      <c r="BI22" s="612"/>
      <c r="BJ22" s="590">
        <f>A22</f>
        <v>109</v>
      </c>
    </row>
    <row r="23" spans="1:62">
      <c r="A23" s="590">
        <f t="shared" si="14"/>
        <v>110</v>
      </c>
      <c r="B23" s="702" t="s">
        <v>1566</v>
      </c>
      <c r="C23" s="702"/>
      <c r="D23" s="590"/>
      <c r="E23" s="590"/>
      <c r="F23" s="590"/>
      <c r="G23" s="590"/>
      <c r="H23" s="712">
        <f>SUM(H17:H22)</f>
        <v>0</v>
      </c>
      <c r="I23" s="590"/>
      <c r="J23" s="712">
        <f>SUM(J17:J22)</f>
        <v>0</v>
      </c>
      <c r="K23" s="712"/>
      <c r="L23" s="712">
        <f t="shared" ref="L23" si="33">SUM(L17:L22)</f>
        <v>0</v>
      </c>
      <c r="M23" s="712"/>
      <c r="N23" s="712">
        <f t="shared" ref="N23" si="34">SUM(N17:N22)</f>
        <v>0</v>
      </c>
      <c r="O23" s="712"/>
      <c r="Q23" s="712"/>
      <c r="R23" s="712"/>
      <c r="S23" s="590"/>
      <c r="T23" s="712">
        <f>SUM(T17:T22)</f>
        <v>0</v>
      </c>
      <c r="U23" s="712"/>
      <c r="V23" s="712">
        <f t="shared" ref="V23" si="35">SUM(V17:V22)</f>
        <v>0</v>
      </c>
      <c r="W23" s="712"/>
      <c r="X23" s="712">
        <f t="shared" ref="X23" si="36">SUM(X17:X22)</f>
        <v>0</v>
      </c>
      <c r="Y23" s="712"/>
      <c r="Z23" s="712">
        <f>SUM(Z17:Z22)</f>
        <v>0</v>
      </c>
      <c r="AA23" s="712"/>
      <c r="AB23" s="712"/>
      <c r="AC23" s="712"/>
      <c r="AD23" s="712">
        <f>SUM(AD17:AD22)</f>
        <v>0</v>
      </c>
      <c r="AE23" s="712"/>
      <c r="AF23" s="712">
        <f t="shared" ref="AF23" si="37">SUM(AF17:AF22)</f>
        <v>0</v>
      </c>
      <c r="AG23" s="712"/>
      <c r="AH23" s="712">
        <f t="shared" ref="AH23" si="38">SUM(AH17:AH22)</f>
        <v>0</v>
      </c>
      <c r="AI23" s="712"/>
      <c r="AJ23" s="712"/>
      <c r="AK23" s="712"/>
      <c r="AL23" s="712">
        <f>SUM(AL17:AL22)</f>
        <v>0</v>
      </c>
      <c r="AM23" s="712"/>
      <c r="AN23" s="712">
        <f t="shared" ref="AN23" si="39">SUM(AN17:AN22)</f>
        <v>0</v>
      </c>
      <c r="AO23" s="712"/>
      <c r="AP23" s="712">
        <f t="shared" ref="AP23" si="40">SUM(AP17:AP22)</f>
        <v>0</v>
      </c>
      <c r="AQ23" s="712"/>
      <c r="AR23" s="712">
        <f t="shared" ref="AR23" si="41">SUM(AR17:AR22)</f>
        <v>0</v>
      </c>
      <c r="AS23" s="712"/>
      <c r="AT23" s="712">
        <f>SUM(AT17:AT22)</f>
        <v>0</v>
      </c>
      <c r="AU23" s="712"/>
      <c r="AV23" s="712">
        <f t="shared" ref="AV23" si="42">SUM(AV17:AV22)</f>
        <v>0</v>
      </c>
      <c r="AW23" s="712"/>
      <c r="AX23" s="712">
        <f t="shared" ref="AX23" si="43">SUM(AX17:AX22)</f>
        <v>0</v>
      </c>
      <c r="AY23" s="712"/>
      <c r="AZ23" s="712">
        <f>SUM(AZ17:AZ22)</f>
        <v>0</v>
      </c>
      <c r="BA23" s="712"/>
      <c r="BB23" s="712">
        <f t="shared" ref="BB23" si="44">SUM(BB17:BB22)</f>
        <v>0</v>
      </c>
      <c r="BC23" s="712"/>
      <c r="BD23" s="712">
        <f t="shared" ref="BD23" si="45">SUM(BD17:BD22)</f>
        <v>0</v>
      </c>
      <c r="BE23" s="712"/>
      <c r="BF23" s="712">
        <f t="shared" ref="BF23" si="46">SUM(BF17:BF22)</f>
        <v>0</v>
      </c>
      <c r="BG23" s="712"/>
      <c r="BH23" s="712">
        <f>SUM(BH17:BH22)</f>
        <v>0</v>
      </c>
      <c r="BI23" s="612"/>
      <c r="BJ23" s="590">
        <f>A23</f>
        <v>110</v>
      </c>
    </row>
    <row r="24" spans="1:62">
      <c r="A24" s="590"/>
      <c r="B24" s="702"/>
      <c r="C24" s="702"/>
      <c r="D24" s="590"/>
      <c r="E24" s="590"/>
      <c r="F24" s="590"/>
      <c r="G24" s="590"/>
      <c r="H24" s="590"/>
      <c r="I24" s="590"/>
      <c r="J24" s="590"/>
      <c r="K24" s="590"/>
      <c r="L24" s="590"/>
      <c r="M24" s="590"/>
      <c r="N24" s="590"/>
      <c r="O24" s="590"/>
      <c r="Q24" s="590"/>
      <c r="R24" s="590"/>
      <c r="S24" s="590"/>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590"/>
      <c r="BI24" s="612"/>
      <c r="BJ24" s="590"/>
    </row>
    <row r="25" spans="1:62">
      <c r="A25" s="323" t="s">
        <v>124</v>
      </c>
      <c r="B25" s="728" t="s">
        <v>1567</v>
      </c>
      <c r="C25" s="613"/>
      <c r="D25" s="589" t="s">
        <v>125</v>
      </c>
      <c r="E25" s="590"/>
      <c r="F25" s="590"/>
      <c r="G25" s="590"/>
      <c r="H25" s="590"/>
      <c r="I25" s="590"/>
      <c r="J25" s="590"/>
      <c r="K25" s="590"/>
      <c r="L25" s="590"/>
      <c r="M25" s="590"/>
      <c r="N25" s="590"/>
      <c r="O25" s="590"/>
      <c r="Q25" s="590"/>
      <c r="R25" s="590"/>
      <c r="S25" s="590"/>
      <c r="T25" s="712"/>
      <c r="U25" s="712"/>
      <c r="V25" s="712"/>
      <c r="W25" s="712"/>
      <c r="X25" s="702"/>
      <c r="Y25" s="702"/>
      <c r="Z25" s="702"/>
      <c r="AA25" s="702"/>
      <c r="AB25" s="702"/>
      <c r="AC25" s="702"/>
      <c r="AD25" s="702"/>
      <c r="AE25" s="702"/>
      <c r="AF25" s="702"/>
      <c r="AG25" s="702"/>
      <c r="AH25" s="702"/>
      <c r="AI25" s="702"/>
      <c r="AJ25" s="702"/>
      <c r="AK25" s="702"/>
      <c r="AL25" s="712"/>
      <c r="AM25" s="712"/>
      <c r="AN25" s="712"/>
      <c r="AO25" s="712"/>
      <c r="AP25" s="702"/>
      <c r="AQ25" s="702"/>
      <c r="AR25" s="702"/>
      <c r="AS25" s="702"/>
      <c r="AT25" s="702"/>
      <c r="AU25" s="702"/>
      <c r="AV25" s="702"/>
      <c r="AW25" s="702"/>
      <c r="AX25" s="702"/>
      <c r="AY25" s="702"/>
      <c r="AZ25" s="712"/>
      <c r="BA25" s="712"/>
      <c r="BB25" s="712"/>
      <c r="BC25" s="712"/>
      <c r="BD25" s="702"/>
      <c r="BE25" s="702"/>
      <c r="BF25" s="702"/>
      <c r="BG25" s="702"/>
      <c r="BH25" s="590"/>
      <c r="BI25" s="612"/>
      <c r="BJ25" s="726" t="s">
        <v>124</v>
      </c>
    </row>
    <row r="26" spans="1:62">
      <c r="A26" s="590">
        <v>200</v>
      </c>
      <c r="B26" s="702" t="s">
        <v>1573</v>
      </c>
      <c r="C26" s="702"/>
      <c r="D26" s="590"/>
      <c r="E26" s="590"/>
      <c r="F26" s="590"/>
      <c r="G26" s="590"/>
      <c r="H26" s="721">
        <f>ROUND(SUM(H27:H31),0)</f>
        <v>0</v>
      </c>
      <c r="I26" s="590"/>
      <c r="J26" s="721">
        <f>ROUND(SUM(J27:J31),0)</f>
        <v>0</v>
      </c>
      <c r="K26" s="712"/>
      <c r="L26" s="721">
        <f>ROUND(SUM(L27:L31),0)</f>
        <v>0</v>
      </c>
      <c r="M26" s="712"/>
      <c r="N26" s="721">
        <f>ROUND(SUM(N27:N31),0)</f>
        <v>0</v>
      </c>
      <c r="O26" s="712"/>
      <c r="Q26" s="590"/>
      <c r="R26" s="590"/>
      <c r="S26" s="590"/>
      <c r="T26" s="721">
        <f>ROUND(SUM(T27:T31),0)</f>
        <v>0</v>
      </c>
      <c r="U26" s="712"/>
      <c r="V26" s="721">
        <f>ROUND(SUM(V27:V31),0)</f>
        <v>0</v>
      </c>
      <c r="W26" s="712"/>
      <c r="X26" s="721">
        <f>ROUND(SUM(X27:X31),0)</f>
        <v>0</v>
      </c>
      <c r="Y26" s="712"/>
      <c r="Z26" s="721">
        <f>ROUND(SUM(Z27:Z31),0)</f>
        <v>0</v>
      </c>
      <c r="AA26" s="712"/>
      <c r="AB26" s="712"/>
      <c r="AC26" s="712"/>
      <c r="AD26" s="721">
        <f>SUM(AD27:AD31)</f>
        <v>0</v>
      </c>
      <c r="AE26" s="712"/>
      <c r="AF26" s="721">
        <f>SUM(AF27:AF31)</f>
        <v>0</v>
      </c>
      <c r="AG26" s="712"/>
      <c r="AH26" s="721">
        <f>SUM(AH27:AH31)</f>
        <v>0</v>
      </c>
      <c r="AI26" s="712"/>
      <c r="AJ26" s="712"/>
      <c r="AK26" s="712"/>
      <c r="AL26" s="721">
        <f>SUM(AL27:AL31)</f>
        <v>0</v>
      </c>
      <c r="AM26" s="712"/>
      <c r="AN26" s="721">
        <f>SUM(AN27:AN31)</f>
        <v>0</v>
      </c>
      <c r="AO26" s="712"/>
      <c r="AP26" s="721">
        <f>SUM(AP27:AP31)</f>
        <v>0</v>
      </c>
      <c r="AQ26" s="712"/>
      <c r="AR26" s="721">
        <f>SUM(AR27:AR31)</f>
        <v>0</v>
      </c>
      <c r="AS26" s="712"/>
      <c r="AT26" s="721">
        <f>SUM(AT27:AT31)</f>
        <v>0</v>
      </c>
      <c r="AU26" s="712"/>
      <c r="AV26" s="721">
        <f>SUM(AV27:AV31)</f>
        <v>0</v>
      </c>
      <c r="AW26" s="712"/>
      <c r="AX26" s="721">
        <f>SUM(AX27:AX31)</f>
        <v>0</v>
      </c>
      <c r="AY26" s="712"/>
      <c r="AZ26" s="721">
        <f>SUM(AZ27:AZ31)</f>
        <v>0</v>
      </c>
      <c r="BA26" s="712"/>
      <c r="BB26" s="721">
        <f>SUM(BB27:BB31)</f>
        <v>0</v>
      </c>
      <c r="BC26" s="712"/>
      <c r="BD26" s="721">
        <f>SUM(BD27:BD31)</f>
        <v>0</v>
      </c>
      <c r="BE26" s="712"/>
      <c r="BF26" s="721">
        <f>SUM(BF27:BF31)</f>
        <v>0</v>
      </c>
      <c r="BG26" s="712"/>
      <c r="BH26" s="721">
        <f>ROUND(SUM(BH27:BH31),0)</f>
        <v>0</v>
      </c>
      <c r="BI26" s="727"/>
      <c r="BJ26" s="590">
        <f t="shared" ref="BJ26:BJ31" si="47">A26</f>
        <v>200</v>
      </c>
    </row>
    <row r="27" spans="1:62">
      <c r="A27" s="590">
        <f t="shared" si="14"/>
        <v>201</v>
      </c>
      <c r="B27" s="729" t="s">
        <v>1788</v>
      </c>
      <c r="C27" s="702"/>
      <c r="D27" s="702" t="s">
        <v>1765</v>
      </c>
      <c r="E27" s="702"/>
      <c r="F27" s="706" t="s">
        <v>1766</v>
      </c>
      <c r="G27" s="702"/>
      <c r="H27" s="723"/>
      <c r="I27" s="590"/>
      <c r="J27" s="723"/>
      <c r="K27" s="712"/>
      <c r="L27" s="723"/>
      <c r="M27" s="712"/>
      <c r="N27" s="723"/>
      <c r="O27" s="712"/>
      <c r="Q27" s="590"/>
      <c r="R27" s="706" t="s">
        <v>1762</v>
      </c>
      <c r="S27" s="590"/>
      <c r="T27" s="712">
        <f>N27</f>
        <v>0</v>
      </c>
      <c r="U27" s="712"/>
      <c r="V27" s="712">
        <v>0</v>
      </c>
      <c r="W27" s="712"/>
      <c r="X27" s="712">
        <v>0</v>
      </c>
      <c r="Y27" s="712"/>
      <c r="Z27" s="712">
        <f t="shared" ref="Z27:Z31" si="48">SUM(T27:X27)</f>
        <v>0</v>
      </c>
      <c r="AA27" s="712"/>
      <c r="AB27" s="607" t="s">
        <v>1560</v>
      </c>
      <c r="AC27" s="712"/>
      <c r="AD27" s="723"/>
      <c r="AE27" s="712"/>
      <c r="AF27" s="712">
        <v>0</v>
      </c>
      <c r="AG27" s="712"/>
      <c r="AH27" s="712">
        <v>0</v>
      </c>
      <c r="AI27" s="712"/>
      <c r="AJ27" s="607" t="s">
        <v>1772</v>
      </c>
      <c r="AK27" s="712"/>
      <c r="AL27" s="605">
        <f>+T27-AD27</f>
        <v>0</v>
      </c>
      <c r="AM27" s="712"/>
      <c r="AN27" s="605">
        <f>+V27-AF27</f>
        <v>0</v>
      </c>
      <c r="AO27" s="712"/>
      <c r="AP27" s="605">
        <f>+X27-AH27</f>
        <v>0</v>
      </c>
      <c r="AQ27" s="712"/>
      <c r="AR27" s="712">
        <f t="shared" ref="AR27:AR31" si="49">SUM(AL27:AP27)</f>
        <v>0</v>
      </c>
      <c r="AS27" s="712"/>
      <c r="AT27" s="723"/>
      <c r="AU27" s="712"/>
      <c r="AV27" s="712">
        <v>0</v>
      </c>
      <c r="AW27" s="712"/>
      <c r="AX27" s="712">
        <v>0</v>
      </c>
      <c r="AY27" s="712"/>
      <c r="AZ27" s="605">
        <f>+AL27-AT27</f>
        <v>0</v>
      </c>
      <c r="BA27" s="712"/>
      <c r="BB27" s="605">
        <f>+AN27-AV27</f>
        <v>0</v>
      </c>
      <c r="BC27" s="712"/>
      <c r="BD27" s="605">
        <f>+AP27-AX27</f>
        <v>0</v>
      </c>
      <c r="BE27" s="712"/>
      <c r="BF27" s="712">
        <f t="shared" ref="BF27:BF31" si="50">SUM(AZ27:BD27)</f>
        <v>0</v>
      </c>
      <c r="BG27" s="712"/>
      <c r="BH27" s="712">
        <f>+BF27*$BH$9</f>
        <v>0</v>
      </c>
      <c r="BI27" s="727"/>
      <c r="BJ27" s="590">
        <f t="shared" si="47"/>
        <v>201</v>
      </c>
    </row>
    <row r="28" spans="1:62">
      <c r="A28" s="590">
        <f t="shared" si="14"/>
        <v>202</v>
      </c>
      <c r="B28" s="729" t="s">
        <v>1789</v>
      </c>
      <c r="C28" s="702"/>
      <c r="D28" s="702" t="s">
        <v>1765</v>
      </c>
      <c r="E28" s="702"/>
      <c r="F28" s="706" t="s">
        <v>1766</v>
      </c>
      <c r="G28" s="702"/>
      <c r="H28" s="723"/>
      <c r="I28" s="590"/>
      <c r="J28" s="723"/>
      <c r="K28" s="712"/>
      <c r="L28" s="723"/>
      <c r="M28" s="712"/>
      <c r="N28" s="723"/>
      <c r="O28" s="712"/>
      <c r="Q28" s="590"/>
      <c r="R28" s="706" t="s">
        <v>1762</v>
      </c>
      <c r="S28" s="590"/>
      <c r="T28" s="712">
        <f t="shared" ref="T28:T29" si="51">N28</f>
        <v>0</v>
      </c>
      <c r="U28" s="712"/>
      <c r="V28" s="712">
        <v>0</v>
      </c>
      <c r="W28" s="712"/>
      <c r="X28" s="712">
        <v>0</v>
      </c>
      <c r="Y28" s="712"/>
      <c r="Z28" s="712">
        <f t="shared" si="48"/>
        <v>0</v>
      </c>
      <c r="AA28" s="712"/>
      <c r="AB28" s="607" t="s">
        <v>1560</v>
      </c>
      <c r="AC28" s="712"/>
      <c r="AD28" s="723"/>
      <c r="AE28" s="712"/>
      <c r="AF28" s="712">
        <v>0</v>
      </c>
      <c r="AG28" s="712"/>
      <c r="AH28" s="712">
        <v>0</v>
      </c>
      <c r="AI28" s="712"/>
      <c r="AJ28" s="607" t="s">
        <v>1772</v>
      </c>
      <c r="AK28" s="712"/>
      <c r="AL28" s="605">
        <f t="shared" ref="AL28:AP31" si="52">+T28-AD28</f>
        <v>0</v>
      </c>
      <c r="AM28" s="712"/>
      <c r="AN28" s="605">
        <f t="shared" si="52"/>
        <v>0</v>
      </c>
      <c r="AO28" s="712"/>
      <c r="AP28" s="605">
        <f t="shared" si="52"/>
        <v>0</v>
      </c>
      <c r="AQ28" s="712"/>
      <c r="AR28" s="712">
        <f t="shared" si="49"/>
        <v>0</v>
      </c>
      <c r="AS28" s="712"/>
      <c r="AT28" s="723"/>
      <c r="AU28" s="712"/>
      <c r="AV28" s="712">
        <v>0</v>
      </c>
      <c r="AW28" s="712"/>
      <c r="AX28" s="712">
        <v>0</v>
      </c>
      <c r="AY28" s="712"/>
      <c r="AZ28" s="605">
        <f t="shared" ref="AZ28:BD31" si="53">+AL28-AT28</f>
        <v>0</v>
      </c>
      <c r="BA28" s="712"/>
      <c r="BB28" s="605">
        <f t="shared" si="53"/>
        <v>0</v>
      </c>
      <c r="BC28" s="712"/>
      <c r="BD28" s="605">
        <f t="shared" si="53"/>
        <v>0</v>
      </c>
      <c r="BE28" s="712"/>
      <c r="BF28" s="712">
        <f t="shared" si="50"/>
        <v>0</v>
      </c>
      <c r="BG28" s="712"/>
      <c r="BH28" s="712">
        <f>+BF28*$BH$9</f>
        <v>0</v>
      </c>
      <c r="BI28" s="727"/>
      <c r="BJ28" s="590">
        <f t="shared" si="47"/>
        <v>202</v>
      </c>
    </row>
    <row r="29" spans="1:62">
      <c r="A29" s="590">
        <f t="shared" si="14"/>
        <v>203</v>
      </c>
      <c r="B29" s="729" t="s">
        <v>1790</v>
      </c>
      <c r="C29" s="702"/>
      <c r="D29" s="702" t="s">
        <v>1765</v>
      </c>
      <c r="E29" s="702"/>
      <c r="F29" s="706" t="s">
        <v>1766</v>
      </c>
      <c r="G29" s="702"/>
      <c r="H29" s="723"/>
      <c r="I29" s="590"/>
      <c r="J29" s="723"/>
      <c r="K29" s="712"/>
      <c r="L29" s="723"/>
      <c r="M29" s="712"/>
      <c r="N29" s="723"/>
      <c r="O29" s="712"/>
      <c r="Q29" s="590"/>
      <c r="R29" s="706" t="s">
        <v>1762</v>
      </c>
      <c r="S29" s="590"/>
      <c r="T29" s="712">
        <f t="shared" si="51"/>
        <v>0</v>
      </c>
      <c r="U29" s="712"/>
      <c r="V29" s="712">
        <v>0</v>
      </c>
      <c r="W29" s="712"/>
      <c r="X29" s="712">
        <v>0</v>
      </c>
      <c r="Y29" s="712"/>
      <c r="Z29" s="712">
        <f t="shared" si="48"/>
        <v>0</v>
      </c>
      <c r="AA29" s="712"/>
      <c r="AB29" s="607" t="s">
        <v>1560</v>
      </c>
      <c r="AC29" s="712"/>
      <c r="AD29" s="723"/>
      <c r="AE29" s="712"/>
      <c r="AF29" s="712">
        <v>0</v>
      </c>
      <c r="AG29" s="712"/>
      <c r="AH29" s="712">
        <v>0</v>
      </c>
      <c r="AI29" s="712"/>
      <c r="AJ29" s="607" t="s">
        <v>1772</v>
      </c>
      <c r="AK29" s="712"/>
      <c r="AL29" s="605">
        <f t="shared" si="52"/>
        <v>0</v>
      </c>
      <c r="AM29" s="712"/>
      <c r="AN29" s="605">
        <f t="shared" si="52"/>
        <v>0</v>
      </c>
      <c r="AO29" s="712"/>
      <c r="AP29" s="605">
        <f t="shared" si="52"/>
        <v>0</v>
      </c>
      <c r="AQ29" s="712"/>
      <c r="AR29" s="712">
        <f t="shared" si="49"/>
        <v>0</v>
      </c>
      <c r="AS29" s="712"/>
      <c r="AT29" s="723"/>
      <c r="AU29" s="712"/>
      <c r="AV29" s="712">
        <v>0</v>
      </c>
      <c r="AW29" s="712"/>
      <c r="AX29" s="712">
        <v>0</v>
      </c>
      <c r="AY29" s="712"/>
      <c r="AZ29" s="605">
        <f t="shared" si="53"/>
        <v>0</v>
      </c>
      <c r="BA29" s="712"/>
      <c r="BB29" s="605">
        <f t="shared" si="53"/>
        <v>0</v>
      </c>
      <c r="BC29" s="712"/>
      <c r="BD29" s="605">
        <f t="shared" si="53"/>
        <v>0</v>
      </c>
      <c r="BE29" s="712"/>
      <c r="BF29" s="712">
        <f t="shared" si="50"/>
        <v>0</v>
      </c>
      <c r="BG29" s="712"/>
      <c r="BH29" s="712">
        <f>+BF29*$BH$9</f>
        <v>0</v>
      </c>
      <c r="BI29" s="727"/>
      <c r="BJ29" s="590">
        <f t="shared" si="47"/>
        <v>203</v>
      </c>
    </row>
    <row r="30" spans="1:62">
      <c r="A30" s="590">
        <f t="shared" si="14"/>
        <v>204</v>
      </c>
      <c r="B30" s="730" t="s">
        <v>640</v>
      </c>
      <c r="C30" s="702"/>
      <c r="D30" s="590"/>
      <c r="E30" s="590"/>
      <c r="F30" s="590"/>
      <c r="G30" s="590"/>
      <c r="H30" s="723"/>
      <c r="I30" s="590"/>
      <c r="J30" s="723"/>
      <c r="K30" s="712"/>
      <c r="L30" s="723"/>
      <c r="M30" s="712"/>
      <c r="N30" s="723"/>
      <c r="O30" s="712"/>
      <c r="Q30" s="590"/>
      <c r="R30" s="590"/>
      <c r="S30" s="590"/>
      <c r="T30" s="712">
        <v>0</v>
      </c>
      <c r="U30" s="712"/>
      <c r="V30" s="712">
        <v>0</v>
      </c>
      <c r="W30" s="712"/>
      <c r="X30" s="712">
        <v>0</v>
      </c>
      <c r="Y30" s="712"/>
      <c r="Z30" s="712">
        <f t="shared" si="48"/>
        <v>0</v>
      </c>
      <c r="AA30" s="712"/>
      <c r="AB30" s="712"/>
      <c r="AC30" s="712"/>
      <c r="AD30" s="723"/>
      <c r="AE30" s="712"/>
      <c r="AF30" s="712">
        <v>0</v>
      </c>
      <c r="AG30" s="712"/>
      <c r="AH30" s="712">
        <v>0</v>
      </c>
      <c r="AI30" s="712"/>
      <c r="AJ30" s="712"/>
      <c r="AK30" s="712"/>
      <c r="AL30" s="605">
        <f t="shared" si="52"/>
        <v>0</v>
      </c>
      <c r="AM30" s="712"/>
      <c r="AN30" s="605">
        <f t="shared" si="52"/>
        <v>0</v>
      </c>
      <c r="AO30" s="712"/>
      <c r="AP30" s="605">
        <f t="shared" si="52"/>
        <v>0</v>
      </c>
      <c r="AQ30" s="712"/>
      <c r="AR30" s="712">
        <f t="shared" si="49"/>
        <v>0</v>
      </c>
      <c r="AS30" s="712"/>
      <c r="AT30" s="723"/>
      <c r="AU30" s="712"/>
      <c r="AV30" s="712">
        <v>0</v>
      </c>
      <c r="AW30" s="712"/>
      <c r="AX30" s="712">
        <v>0</v>
      </c>
      <c r="AY30" s="712"/>
      <c r="AZ30" s="605">
        <f t="shared" si="53"/>
        <v>0</v>
      </c>
      <c r="BA30" s="712"/>
      <c r="BB30" s="605">
        <f t="shared" si="53"/>
        <v>0</v>
      </c>
      <c r="BC30" s="712"/>
      <c r="BD30" s="605">
        <f t="shared" si="53"/>
        <v>0</v>
      </c>
      <c r="BE30" s="712"/>
      <c r="BF30" s="712">
        <f t="shared" si="50"/>
        <v>0</v>
      </c>
      <c r="BG30" s="712"/>
      <c r="BH30" s="712">
        <f>+BF30*$BH$9</f>
        <v>0</v>
      </c>
      <c r="BI30" s="727"/>
      <c r="BJ30" s="590">
        <f t="shared" si="47"/>
        <v>204</v>
      </c>
    </row>
    <row r="31" spans="1:62">
      <c r="A31" s="590">
        <f>+A30+1</f>
        <v>205</v>
      </c>
      <c r="B31" s="730" t="s">
        <v>640</v>
      </c>
      <c r="C31" s="731"/>
      <c r="D31" s="702"/>
      <c r="E31" s="702"/>
      <c r="F31" s="706"/>
      <c r="G31" s="702"/>
      <c r="H31" s="723"/>
      <c r="I31" s="702"/>
      <c r="J31" s="723"/>
      <c r="K31" s="712"/>
      <c r="L31" s="723"/>
      <c r="M31" s="712"/>
      <c r="N31" s="723"/>
      <c r="O31" s="712"/>
      <c r="Q31" s="702"/>
      <c r="R31" s="702"/>
      <c r="S31" s="702"/>
      <c r="T31" s="712">
        <v>0</v>
      </c>
      <c r="U31" s="712"/>
      <c r="V31" s="712">
        <v>0</v>
      </c>
      <c r="W31" s="712"/>
      <c r="X31" s="712">
        <v>0</v>
      </c>
      <c r="Y31" s="712"/>
      <c r="Z31" s="712">
        <f t="shared" si="48"/>
        <v>0</v>
      </c>
      <c r="AA31" s="712"/>
      <c r="AB31" s="712"/>
      <c r="AC31" s="712"/>
      <c r="AD31" s="723"/>
      <c r="AE31" s="712"/>
      <c r="AF31" s="712">
        <v>0</v>
      </c>
      <c r="AG31" s="712"/>
      <c r="AH31" s="712">
        <v>0</v>
      </c>
      <c r="AI31" s="712"/>
      <c r="AJ31" s="712"/>
      <c r="AK31" s="712"/>
      <c r="AL31" s="605">
        <f t="shared" si="52"/>
        <v>0</v>
      </c>
      <c r="AM31" s="712"/>
      <c r="AN31" s="605">
        <f t="shared" si="52"/>
        <v>0</v>
      </c>
      <c r="AO31" s="712"/>
      <c r="AP31" s="605">
        <f t="shared" si="52"/>
        <v>0</v>
      </c>
      <c r="AQ31" s="712"/>
      <c r="AR31" s="712">
        <f t="shared" si="49"/>
        <v>0</v>
      </c>
      <c r="AS31" s="591"/>
      <c r="AT31" s="723"/>
      <c r="AU31" s="712"/>
      <c r="AV31" s="712">
        <v>0</v>
      </c>
      <c r="AW31" s="712"/>
      <c r="AX31" s="712">
        <v>0</v>
      </c>
      <c r="AY31" s="712"/>
      <c r="AZ31" s="605">
        <f t="shared" si="53"/>
        <v>0</v>
      </c>
      <c r="BA31" s="712"/>
      <c r="BB31" s="605">
        <f t="shared" si="53"/>
        <v>0</v>
      </c>
      <c r="BC31" s="712"/>
      <c r="BD31" s="605">
        <f t="shared" si="53"/>
        <v>0</v>
      </c>
      <c r="BE31" s="712"/>
      <c r="BF31" s="712">
        <f t="shared" si="50"/>
        <v>0</v>
      </c>
      <c r="BG31" s="712"/>
      <c r="BH31" s="712">
        <f>+BF31*$BH$9</f>
        <v>0</v>
      </c>
      <c r="BI31" s="702"/>
      <c r="BJ31" s="590">
        <f t="shared" si="47"/>
        <v>205</v>
      </c>
    </row>
    <row r="32" spans="1:62">
      <c r="A32" s="590"/>
      <c r="B32" s="706"/>
      <c r="C32" s="731"/>
      <c r="D32" s="702"/>
      <c r="E32" s="702"/>
      <c r="F32" s="706"/>
      <c r="G32" s="702"/>
      <c r="H32" s="712"/>
      <c r="I32" s="702"/>
      <c r="J32" s="712"/>
      <c r="K32" s="712"/>
      <c r="L32" s="712"/>
      <c r="M32" s="712"/>
      <c r="N32" s="712"/>
      <c r="O32" s="712"/>
      <c r="Q32" s="702"/>
      <c r="R32" s="702"/>
      <c r="S32" s="70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591"/>
      <c r="AT32" s="712"/>
      <c r="AU32" s="712"/>
      <c r="AV32" s="712"/>
      <c r="AW32" s="712"/>
      <c r="AX32" s="712"/>
      <c r="AY32" s="712"/>
      <c r="AZ32" s="712"/>
      <c r="BA32" s="712"/>
      <c r="BB32" s="712"/>
      <c r="BC32" s="712"/>
      <c r="BD32" s="712"/>
      <c r="BE32" s="712"/>
      <c r="BF32" s="712"/>
      <c r="BG32" s="712"/>
      <c r="BH32" s="712"/>
      <c r="BI32" s="702"/>
      <c r="BJ32" s="590"/>
    </row>
    <row r="33" spans="1:62">
      <c r="A33" s="323" t="s">
        <v>124</v>
      </c>
      <c r="B33" s="715"/>
      <c r="BJ33" s="726" t="s">
        <v>124</v>
      </c>
    </row>
    <row r="34" spans="1:62">
      <c r="A34" s="590">
        <v>300</v>
      </c>
      <c r="B34" s="702" t="s">
        <v>1568</v>
      </c>
      <c r="H34" s="721">
        <f>SUM(H35:H39)</f>
        <v>0</v>
      </c>
      <c r="J34" s="721">
        <f>SUM(J35:J39)</f>
        <v>0</v>
      </c>
      <c r="K34" s="712"/>
      <c r="L34" s="721">
        <f>SUM(L35:L39)</f>
        <v>0</v>
      </c>
      <c r="M34" s="712"/>
      <c r="N34" s="721">
        <f>SUM(N35:N39)</f>
        <v>0</v>
      </c>
      <c r="O34" s="712"/>
      <c r="Q34" s="590"/>
      <c r="R34" s="590"/>
      <c r="S34" s="590"/>
      <c r="T34" s="721">
        <f>SUM(T35:T39)</f>
        <v>0</v>
      </c>
      <c r="U34" s="712"/>
      <c r="V34" s="721">
        <f>SUM(V35:V39)</f>
        <v>0</v>
      </c>
      <c r="W34" s="712"/>
      <c r="X34" s="721">
        <f>SUM(X35:X39)</f>
        <v>0</v>
      </c>
      <c r="Y34" s="712"/>
      <c r="Z34" s="721">
        <f>SUM(Z35:Z39)</f>
        <v>0</v>
      </c>
      <c r="AA34" s="712"/>
      <c r="AB34" s="712"/>
      <c r="AC34" s="712"/>
      <c r="AD34" s="721">
        <f>SUM(AD35:AD39)</f>
        <v>0</v>
      </c>
      <c r="AE34" s="712"/>
      <c r="AF34" s="721">
        <f>SUM(AF35:AF39)</f>
        <v>0</v>
      </c>
      <c r="AG34" s="712"/>
      <c r="AH34" s="721">
        <f>SUM(AH35:AH39)</f>
        <v>0</v>
      </c>
      <c r="AI34" s="712"/>
      <c r="AJ34" s="712"/>
      <c r="AK34" s="712"/>
      <c r="AL34" s="721">
        <f>SUM(AL35:AL39)</f>
        <v>0</v>
      </c>
      <c r="AM34" s="712"/>
      <c r="AN34" s="721">
        <f>SUM(AN35:AN39)</f>
        <v>0</v>
      </c>
      <c r="AO34" s="712"/>
      <c r="AP34" s="721">
        <f>SUM(AP35:AP39)</f>
        <v>0</v>
      </c>
      <c r="AQ34" s="712"/>
      <c r="AR34" s="721">
        <f>SUM(AR35:AR39)</f>
        <v>0</v>
      </c>
      <c r="AT34" s="721">
        <f>SUM(AT35:AT39)</f>
        <v>0</v>
      </c>
      <c r="AU34" s="712"/>
      <c r="AV34" s="721">
        <f>SUM(AV35:AV39)</f>
        <v>0</v>
      </c>
      <c r="AW34" s="712"/>
      <c r="AX34" s="721">
        <f>SUM(AX35:AX39)</f>
        <v>0</v>
      </c>
      <c r="AY34" s="712"/>
      <c r="AZ34" s="721">
        <f>SUM(AZ35:AZ39)</f>
        <v>0</v>
      </c>
      <c r="BA34" s="712"/>
      <c r="BB34" s="721">
        <f>SUM(BB35:BB39)</f>
        <v>0</v>
      </c>
      <c r="BC34" s="712"/>
      <c r="BD34" s="721">
        <f>SUM(BD35:BD39)</f>
        <v>0</v>
      </c>
      <c r="BE34" s="712"/>
      <c r="BF34" s="721">
        <f>SUM(BF35:BF39)</f>
        <v>0</v>
      </c>
      <c r="BG34" s="712"/>
      <c r="BH34" s="721">
        <f>SUM(BH35:BH39)</f>
        <v>0</v>
      </c>
      <c r="BJ34" s="590">
        <f t="shared" ref="BJ34:BJ39" si="54">A34</f>
        <v>300</v>
      </c>
    </row>
    <row r="35" spans="1:62">
      <c r="A35" s="590">
        <f t="shared" ref="A35:A38" si="55">A34+1</f>
        <v>301</v>
      </c>
      <c r="B35" s="634" t="s">
        <v>1791</v>
      </c>
      <c r="D35" s="705" t="s">
        <v>1777</v>
      </c>
      <c r="F35" s="715" t="s">
        <v>1766</v>
      </c>
      <c r="H35" s="723"/>
      <c r="J35" s="723"/>
      <c r="K35" s="712"/>
      <c r="L35" s="723"/>
      <c r="M35" s="712"/>
      <c r="N35" s="723"/>
      <c r="O35" s="712"/>
      <c r="R35" s="706" t="s">
        <v>1762</v>
      </c>
      <c r="T35" s="712">
        <f t="shared" ref="T35:T39" si="56">N35</f>
        <v>0</v>
      </c>
      <c r="U35" s="712"/>
      <c r="V35" s="712">
        <v>0</v>
      </c>
      <c r="W35" s="712"/>
      <c r="X35" s="712">
        <v>0</v>
      </c>
      <c r="Y35" s="712"/>
      <c r="Z35" s="712">
        <f>SUM(T35:X35)</f>
        <v>0</v>
      </c>
      <c r="AA35" s="712"/>
      <c r="AB35" s="712"/>
      <c r="AC35" s="712"/>
      <c r="AD35" s="723"/>
      <c r="AE35" s="712"/>
      <c r="AF35" s="723"/>
      <c r="AG35" s="712"/>
      <c r="AH35" s="712">
        <v>0</v>
      </c>
      <c r="AI35" s="712"/>
      <c r="AJ35" s="712"/>
      <c r="AK35" s="712"/>
      <c r="AL35" s="605">
        <f>+T35-AD35</f>
        <v>0</v>
      </c>
      <c r="AM35" s="712"/>
      <c r="AN35" s="605">
        <f>+V35-AF35</f>
        <v>0</v>
      </c>
      <c r="AO35" s="712"/>
      <c r="AP35" s="605">
        <f>+X35-AH35</f>
        <v>0</v>
      </c>
      <c r="AQ35" s="712"/>
      <c r="AR35" s="712">
        <f t="shared" ref="AR35:AR39" si="57">SUM(AL35:AP35)</f>
        <v>0</v>
      </c>
      <c r="AT35" s="723"/>
      <c r="AU35" s="712"/>
      <c r="AV35" s="723"/>
      <c r="AW35" s="712"/>
      <c r="AX35" s="712">
        <v>0</v>
      </c>
      <c r="AY35" s="712"/>
      <c r="AZ35" s="605">
        <f>+AL35-AT35</f>
        <v>0</v>
      </c>
      <c r="BA35" s="712"/>
      <c r="BB35" s="605">
        <f>+AN35-AV35</f>
        <v>0</v>
      </c>
      <c r="BC35" s="712"/>
      <c r="BD35" s="605">
        <f>+AP35-AX35</f>
        <v>0</v>
      </c>
      <c r="BE35" s="712"/>
      <c r="BF35" s="712">
        <f t="shared" ref="BF35:BF39" si="58">SUM(AZ35:BD35)</f>
        <v>0</v>
      </c>
      <c r="BG35" s="712"/>
      <c r="BH35" s="712">
        <f>+BF35*$BH$9</f>
        <v>0</v>
      </c>
      <c r="BJ35" s="590">
        <f t="shared" si="54"/>
        <v>301</v>
      </c>
    </row>
    <row r="36" spans="1:62">
      <c r="A36" s="590">
        <f t="shared" si="55"/>
        <v>302</v>
      </c>
      <c r="B36" s="634" t="s">
        <v>1791</v>
      </c>
      <c r="D36" s="705" t="s">
        <v>1777</v>
      </c>
      <c r="F36" s="715" t="s">
        <v>1766</v>
      </c>
      <c r="H36" s="723"/>
      <c r="J36" s="723"/>
      <c r="K36" s="712"/>
      <c r="L36" s="723"/>
      <c r="M36" s="712"/>
      <c r="N36" s="723"/>
      <c r="O36" s="712"/>
      <c r="R36" s="706" t="s">
        <v>1762</v>
      </c>
      <c r="T36" s="712">
        <f t="shared" si="56"/>
        <v>0</v>
      </c>
      <c r="U36" s="712"/>
      <c r="V36" s="712">
        <v>0</v>
      </c>
      <c r="W36" s="712"/>
      <c r="X36" s="712">
        <v>0</v>
      </c>
      <c r="Y36" s="712"/>
      <c r="Z36" s="712">
        <f t="shared" ref="Z36:Z39" si="59">SUM(T36:X36)</f>
        <v>0</v>
      </c>
      <c r="AA36" s="712"/>
      <c r="AB36" s="712"/>
      <c r="AC36" s="712"/>
      <c r="AD36" s="723"/>
      <c r="AE36" s="712"/>
      <c r="AF36" s="723"/>
      <c r="AG36" s="712"/>
      <c r="AH36" s="712">
        <v>0</v>
      </c>
      <c r="AI36" s="712"/>
      <c r="AJ36" s="712"/>
      <c r="AK36" s="712"/>
      <c r="AL36" s="605">
        <f t="shared" ref="AL36:AP39" si="60">+T36-AD36</f>
        <v>0</v>
      </c>
      <c r="AM36" s="712"/>
      <c r="AN36" s="605">
        <f t="shared" si="60"/>
        <v>0</v>
      </c>
      <c r="AO36" s="712"/>
      <c r="AP36" s="605">
        <f t="shared" si="60"/>
        <v>0</v>
      </c>
      <c r="AQ36" s="712"/>
      <c r="AR36" s="712">
        <f t="shared" si="57"/>
        <v>0</v>
      </c>
      <c r="AT36" s="723"/>
      <c r="AU36" s="712"/>
      <c r="AV36" s="723"/>
      <c r="AW36" s="712"/>
      <c r="AX36" s="712">
        <v>0</v>
      </c>
      <c r="AY36" s="712"/>
      <c r="AZ36" s="605">
        <f t="shared" ref="AZ36:BD39" si="61">+AL36-AT36</f>
        <v>0</v>
      </c>
      <c r="BA36" s="712"/>
      <c r="BB36" s="605">
        <f t="shared" si="61"/>
        <v>0</v>
      </c>
      <c r="BC36" s="712"/>
      <c r="BD36" s="605">
        <f t="shared" si="61"/>
        <v>0</v>
      </c>
      <c r="BE36" s="712"/>
      <c r="BF36" s="712">
        <f t="shared" si="58"/>
        <v>0</v>
      </c>
      <c r="BG36" s="712"/>
      <c r="BH36" s="712">
        <f>+BF36*$BH$9</f>
        <v>0</v>
      </c>
      <c r="BJ36" s="590">
        <f t="shared" si="54"/>
        <v>302</v>
      </c>
    </row>
    <row r="37" spans="1:62">
      <c r="A37" s="590">
        <f t="shared" si="55"/>
        <v>303</v>
      </c>
      <c r="B37" s="634" t="s">
        <v>1791</v>
      </c>
      <c r="D37" s="705" t="s">
        <v>1777</v>
      </c>
      <c r="F37" s="715" t="s">
        <v>1766</v>
      </c>
      <c r="H37" s="723"/>
      <c r="J37" s="723"/>
      <c r="K37" s="712"/>
      <c r="L37" s="723"/>
      <c r="M37" s="712"/>
      <c r="N37" s="723"/>
      <c r="O37" s="712"/>
      <c r="R37" s="706" t="s">
        <v>1762</v>
      </c>
      <c r="T37" s="712">
        <f t="shared" si="56"/>
        <v>0</v>
      </c>
      <c r="U37" s="712"/>
      <c r="V37" s="712">
        <v>0</v>
      </c>
      <c r="W37" s="712"/>
      <c r="X37" s="712">
        <v>0</v>
      </c>
      <c r="Y37" s="712"/>
      <c r="Z37" s="712">
        <f t="shared" si="59"/>
        <v>0</v>
      </c>
      <c r="AA37" s="712"/>
      <c r="AB37" s="712"/>
      <c r="AC37" s="712"/>
      <c r="AD37" s="723"/>
      <c r="AE37" s="712"/>
      <c r="AF37" s="723"/>
      <c r="AG37" s="712"/>
      <c r="AH37" s="712">
        <v>0</v>
      </c>
      <c r="AI37" s="712"/>
      <c r="AJ37" s="712"/>
      <c r="AK37" s="712"/>
      <c r="AL37" s="605">
        <f t="shared" si="60"/>
        <v>0</v>
      </c>
      <c r="AM37" s="712"/>
      <c r="AN37" s="605">
        <f t="shared" si="60"/>
        <v>0</v>
      </c>
      <c r="AO37" s="712"/>
      <c r="AP37" s="605">
        <f t="shared" si="60"/>
        <v>0</v>
      </c>
      <c r="AQ37" s="712"/>
      <c r="AR37" s="712">
        <f t="shared" si="57"/>
        <v>0</v>
      </c>
      <c r="AT37" s="723"/>
      <c r="AU37" s="712"/>
      <c r="AV37" s="723"/>
      <c r="AW37" s="712"/>
      <c r="AX37" s="712">
        <v>0</v>
      </c>
      <c r="AY37" s="712"/>
      <c r="AZ37" s="605">
        <f t="shared" si="61"/>
        <v>0</v>
      </c>
      <c r="BA37" s="712"/>
      <c r="BB37" s="605">
        <f t="shared" si="61"/>
        <v>0</v>
      </c>
      <c r="BC37" s="712"/>
      <c r="BD37" s="605">
        <f t="shared" si="61"/>
        <v>0</v>
      </c>
      <c r="BE37" s="712"/>
      <c r="BF37" s="712">
        <f t="shared" si="58"/>
        <v>0</v>
      </c>
      <c r="BG37" s="712"/>
      <c r="BH37" s="712">
        <f>+BF37*$BH$9</f>
        <v>0</v>
      </c>
      <c r="BJ37" s="590">
        <f t="shared" si="54"/>
        <v>303</v>
      </c>
    </row>
    <row r="38" spans="1:62">
      <c r="A38" s="590">
        <f t="shared" si="55"/>
        <v>304</v>
      </c>
      <c r="B38" s="730" t="s">
        <v>640</v>
      </c>
      <c r="H38" s="723"/>
      <c r="J38" s="723"/>
      <c r="K38" s="712"/>
      <c r="L38" s="723"/>
      <c r="M38" s="712"/>
      <c r="N38" s="723"/>
      <c r="O38" s="712"/>
      <c r="T38" s="712">
        <f t="shared" si="56"/>
        <v>0</v>
      </c>
      <c r="U38" s="712"/>
      <c r="V38" s="712">
        <v>0</v>
      </c>
      <c r="W38" s="712"/>
      <c r="X38" s="712">
        <v>0</v>
      </c>
      <c r="Y38" s="712"/>
      <c r="Z38" s="712">
        <f t="shared" si="59"/>
        <v>0</v>
      </c>
      <c r="AA38" s="712"/>
      <c r="AB38" s="712"/>
      <c r="AC38" s="712"/>
      <c r="AD38" s="723"/>
      <c r="AE38" s="712"/>
      <c r="AF38" s="723"/>
      <c r="AG38" s="712"/>
      <c r="AH38" s="712">
        <v>0</v>
      </c>
      <c r="AI38" s="712"/>
      <c r="AJ38" s="712"/>
      <c r="AK38" s="712"/>
      <c r="AL38" s="605">
        <f t="shared" si="60"/>
        <v>0</v>
      </c>
      <c r="AM38" s="712"/>
      <c r="AN38" s="605">
        <f t="shared" si="60"/>
        <v>0</v>
      </c>
      <c r="AO38" s="712"/>
      <c r="AP38" s="605">
        <f t="shared" si="60"/>
        <v>0</v>
      </c>
      <c r="AQ38" s="712"/>
      <c r="AR38" s="712">
        <f t="shared" si="57"/>
        <v>0</v>
      </c>
      <c r="AT38" s="723"/>
      <c r="AU38" s="712"/>
      <c r="AV38" s="723"/>
      <c r="AW38" s="712"/>
      <c r="AX38" s="712">
        <v>0</v>
      </c>
      <c r="AY38" s="712"/>
      <c r="AZ38" s="605">
        <f t="shared" si="61"/>
        <v>0</v>
      </c>
      <c r="BA38" s="712"/>
      <c r="BB38" s="605">
        <f t="shared" si="61"/>
        <v>0</v>
      </c>
      <c r="BC38" s="712"/>
      <c r="BD38" s="605">
        <f t="shared" si="61"/>
        <v>0</v>
      </c>
      <c r="BE38" s="712"/>
      <c r="BF38" s="712">
        <f t="shared" si="58"/>
        <v>0</v>
      </c>
      <c r="BG38" s="712"/>
      <c r="BH38" s="712">
        <f>+BF38*$BH$9</f>
        <v>0</v>
      </c>
      <c r="BJ38" s="590">
        <f t="shared" si="54"/>
        <v>304</v>
      </c>
    </row>
    <row r="39" spans="1:62">
      <c r="A39" s="590">
        <f>+A38+1</f>
        <v>305</v>
      </c>
      <c r="B39" s="730" t="s">
        <v>640</v>
      </c>
      <c r="H39" s="723"/>
      <c r="J39" s="723"/>
      <c r="K39" s="712"/>
      <c r="L39" s="723"/>
      <c r="M39" s="712"/>
      <c r="N39" s="723"/>
      <c r="O39" s="712"/>
      <c r="T39" s="712">
        <f t="shared" si="56"/>
        <v>0</v>
      </c>
      <c r="U39" s="712"/>
      <c r="V39" s="712">
        <v>0</v>
      </c>
      <c r="W39" s="712"/>
      <c r="X39" s="712">
        <v>0</v>
      </c>
      <c r="Y39" s="712"/>
      <c r="Z39" s="712">
        <f t="shared" si="59"/>
        <v>0</v>
      </c>
      <c r="AA39" s="712"/>
      <c r="AB39" s="712"/>
      <c r="AC39" s="712"/>
      <c r="AD39" s="723"/>
      <c r="AE39" s="712"/>
      <c r="AF39" s="723"/>
      <c r="AG39" s="712"/>
      <c r="AH39" s="712">
        <v>0</v>
      </c>
      <c r="AI39" s="712"/>
      <c r="AJ39" s="712"/>
      <c r="AK39" s="712"/>
      <c r="AL39" s="605">
        <f t="shared" si="60"/>
        <v>0</v>
      </c>
      <c r="AM39" s="712"/>
      <c r="AN39" s="605">
        <f t="shared" si="60"/>
        <v>0</v>
      </c>
      <c r="AO39" s="712"/>
      <c r="AP39" s="605">
        <f t="shared" si="60"/>
        <v>0</v>
      </c>
      <c r="AQ39" s="712"/>
      <c r="AR39" s="712">
        <f t="shared" si="57"/>
        <v>0</v>
      </c>
      <c r="AT39" s="723"/>
      <c r="AU39" s="712"/>
      <c r="AV39" s="723"/>
      <c r="AW39" s="712"/>
      <c r="AX39" s="712">
        <v>0</v>
      </c>
      <c r="AY39" s="712"/>
      <c r="AZ39" s="605">
        <f t="shared" si="61"/>
        <v>0</v>
      </c>
      <c r="BA39" s="712"/>
      <c r="BB39" s="605">
        <f t="shared" si="61"/>
        <v>0</v>
      </c>
      <c r="BC39" s="712"/>
      <c r="BD39" s="605">
        <f t="shared" si="61"/>
        <v>0</v>
      </c>
      <c r="BE39" s="712"/>
      <c r="BF39" s="712">
        <f t="shared" si="58"/>
        <v>0</v>
      </c>
      <c r="BG39" s="712"/>
      <c r="BH39" s="712">
        <f>+BF39*$BH$9</f>
        <v>0</v>
      </c>
      <c r="BJ39" s="590">
        <f t="shared" si="54"/>
        <v>305</v>
      </c>
    </row>
    <row r="40" spans="1:62">
      <c r="A40" s="590"/>
      <c r="B40" s="706"/>
      <c r="H40" s="712"/>
      <c r="J40" s="712"/>
      <c r="K40" s="712"/>
      <c r="L40" s="712"/>
      <c r="M40" s="712"/>
      <c r="N40" s="712"/>
      <c r="O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T40" s="712"/>
      <c r="AU40" s="712"/>
      <c r="AV40" s="712"/>
      <c r="AW40" s="712"/>
      <c r="AX40" s="712"/>
      <c r="AY40" s="712"/>
      <c r="AZ40" s="712"/>
      <c r="BA40" s="712"/>
      <c r="BB40" s="712"/>
      <c r="BC40" s="712"/>
      <c r="BD40" s="712"/>
      <c r="BE40" s="712"/>
      <c r="BF40" s="712"/>
      <c r="BG40" s="712"/>
      <c r="BH40" s="712"/>
      <c r="BJ40" s="590"/>
    </row>
    <row r="41" spans="1:62">
      <c r="A41" s="323" t="s">
        <v>124</v>
      </c>
      <c r="T41" s="712"/>
      <c r="U41" s="712"/>
      <c r="V41" s="712"/>
      <c r="W41" s="712"/>
      <c r="X41" s="712"/>
      <c r="Y41" s="712"/>
      <c r="Z41" s="712"/>
      <c r="AA41" s="712"/>
      <c r="AB41" s="712"/>
      <c r="AC41" s="712"/>
      <c r="AE41" s="712"/>
      <c r="AG41" s="712"/>
      <c r="AI41" s="712"/>
      <c r="AJ41" s="712"/>
      <c r="AK41" s="712"/>
      <c r="AL41" s="712"/>
      <c r="AM41" s="712"/>
      <c r="AN41" s="712"/>
      <c r="AO41" s="712"/>
      <c r="AP41" s="712"/>
      <c r="AQ41" s="712"/>
      <c r="AR41" s="712"/>
      <c r="AU41" s="712"/>
      <c r="AW41" s="712"/>
      <c r="AY41" s="712"/>
      <c r="AZ41" s="712"/>
      <c r="BA41" s="712"/>
      <c r="BB41" s="712"/>
      <c r="BC41" s="712"/>
      <c r="BD41" s="712"/>
      <c r="BE41" s="712"/>
      <c r="BF41" s="712"/>
      <c r="BG41" s="712"/>
      <c r="BJ41" s="323" t="s">
        <v>124</v>
      </c>
    </row>
    <row r="42" spans="1:62">
      <c r="A42" s="590">
        <v>400</v>
      </c>
      <c r="B42" s="702" t="s">
        <v>1569</v>
      </c>
      <c r="H42" s="721">
        <f>ROUND(SUM(H43:H99),0)</f>
        <v>0</v>
      </c>
      <c r="J42" s="721">
        <f>ROUND(SUM(J43:J99),0)</f>
        <v>0</v>
      </c>
      <c r="K42" s="712"/>
      <c r="L42" s="721">
        <f>ROUND(SUM(L43:L99),0)</f>
        <v>0</v>
      </c>
      <c r="M42" s="712"/>
      <c r="N42" s="721">
        <f>ROUND(SUM(N43:N99),0)</f>
        <v>0</v>
      </c>
      <c r="O42" s="712"/>
      <c r="Q42" s="590"/>
      <c r="R42" s="590"/>
      <c r="S42" s="590"/>
      <c r="T42" s="721">
        <f>ROUND(SUM(T43:T99),0)</f>
        <v>0</v>
      </c>
      <c r="U42" s="712"/>
      <c r="V42" s="721">
        <f>ROUND(SUM(V43:V99),0)</f>
        <v>0</v>
      </c>
      <c r="W42" s="712"/>
      <c r="X42" s="721">
        <f>ROUND(SUM(X43:X99),0)</f>
        <v>0</v>
      </c>
      <c r="Y42" s="712"/>
      <c r="Z42" s="721">
        <f>ROUND(SUM(Z43:Z99),0)</f>
        <v>0</v>
      </c>
      <c r="AA42" s="712"/>
      <c r="AB42" s="712"/>
      <c r="AC42" s="712"/>
      <c r="AD42" s="721">
        <f>SUM(AD43:AD99)</f>
        <v>0</v>
      </c>
      <c r="AE42" s="712"/>
      <c r="AF42" s="721">
        <f>SUM(AF43:AF99)</f>
        <v>0</v>
      </c>
      <c r="AG42" s="712"/>
      <c r="AH42" s="721">
        <f>SUM(AH43:AH99)</f>
        <v>0</v>
      </c>
      <c r="AI42" s="712"/>
      <c r="AJ42" s="712"/>
      <c r="AK42" s="712"/>
      <c r="AL42" s="721">
        <f>SUM(AL43:AL99)</f>
        <v>0</v>
      </c>
      <c r="AM42" s="712"/>
      <c r="AN42" s="721">
        <f>SUM(AN43:AN99)</f>
        <v>0</v>
      </c>
      <c r="AO42" s="712"/>
      <c r="AP42" s="721">
        <f>SUM(AP43:AP99)</f>
        <v>0</v>
      </c>
      <c r="AQ42" s="712"/>
      <c r="AR42" s="721">
        <f>SUM(AR43:AR99)</f>
        <v>0</v>
      </c>
      <c r="AT42" s="721">
        <f>SUM(AT43:AT99)</f>
        <v>0</v>
      </c>
      <c r="AU42" s="712"/>
      <c r="AV42" s="721">
        <f>SUM(AV43:AV99)</f>
        <v>0</v>
      </c>
      <c r="AW42" s="712"/>
      <c r="AX42" s="721">
        <f>SUM(AX43:AX99)</f>
        <v>0</v>
      </c>
      <c r="AY42" s="712"/>
      <c r="AZ42" s="721">
        <f>SUM(AZ43:AZ99)</f>
        <v>0</v>
      </c>
      <c r="BA42" s="712"/>
      <c r="BB42" s="721">
        <f>SUM(BB43:BB99)</f>
        <v>0</v>
      </c>
      <c r="BC42" s="712"/>
      <c r="BD42" s="721">
        <f>SUM(BD43:BD99)</f>
        <v>0</v>
      </c>
      <c r="BE42" s="712"/>
      <c r="BF42" s="721">
        <f>SUM(BF43:BF99)</f>
        <v>0</v>
      </c>
      <c r="BG42" s="712"/>
      <c r="BH42" s="721">
        <f>ROUND(SUM(BH43:BH99),0)</f>
        <v>0</v>
      </c>
      <c r="BJ42" s="590">
        <f t="shared" ref="BJ42:BJ99" si="62">A42</f>
        <v>400</v>
      </c>
    </row>
    <row r="43" spans="1:62">
      <c r="A43" s="590">
        <f t="shared" ref="A43:A99" si="63">A42+1</f>
        <v>401</v>
      </c>
      <c r="B43" s="729" t="s">
        <v>1792</v>
      </c>
      <c r="F43" s="715" t="s">
        <v>1766</v>
      </c>
      <c r="H43" s="723"/>
      <c r="J43" s="723"/>
      <c r="K43" s="712"/>
      <c r="L43" s="723"/>
      <c r="M43" s="712"/>
      <c r="N43" s="723"/>
      <c r="O43" s="712"/>
      <c r="R43" s="713" t="s">
        <v>1762</v>
      </c>
      <c r="T43" s="712">
        <v>0</v>
      </c>
      <c r="U43" s="712"/>
      <c r="V43" s="712">
        <f>N43</f>
        <v>0</v>
      </c>
      <c r="W43" s="712"/>
      <c r="X43" s="712">
        <v>0</v>
      </c>
      <c r="Y43" s="712"/>
      <c r="Z43" s="712">
        <f>SUM(T43:X43)</f>
        <v>0</v>
      </c>
      <c r="AA43" s="712"/>
      <c r="AB43" s="607" t="s">
        <v>1560</v>
      </c>
      <c r="AC43" s="712"/>
      <c r="AD43" s="712">
        <v>0</v>
      </c>
      <c r="AE43" s="712"/>
      <c r="AF43" s="723"/>
      <c r="AG43" s="712"/>
      <c r="AH43" s="712">
        <v>0</v>
      </c>
      <c r="AI43" s="712"/>
      <c r="AJ43" s="607" t="s">
        <v>1772</v>
      </c>
      <c r="AK43" s="712"/>
      <c r="AL43" s="605">
        <f>+T43-AD43</f>
        <v>0</v>
      </c>
      <c r="AM43" s="712"/>
      <c r="AN43" s="605">
        <f>+V43-AF43</f>
        <v>0</v>
      </c>
      <c r="AO43" s="712"/>
      <c r="AP43" s="605">
        <f>+X43-AH43</f>
        <v>0</v>
      </c>
      <c r="AQ43" s="712"/>
      <c r="AR43" s="712">
        <f t="shared" ref="AR43:AR99" si="64">SUM(AL43:AP43)</f>
        <v>0</v>
      </c>
      <c r="AT43" s="712">
        <v>0</v>
      </c>
      <c r="AU43" s="712"/>
      <c r="AV43" s="723"/>
      <c r="AW43" s="712"/>
      <c r="AX43" s="712">
        <v>0</v>
      </c>
      <c r="AY43" s="712"/>
      <c r="AZ43" s="605">
        <f>+AL43-AT43</f>
        <v>0</v>
      </c>
      <c r="BA43" s="712"/>
      <c r="BB43" s="605">
        <f>+AN43-AV43</f>
        <v>0</v>
      </c>
      <c r="BC43" s="712"/>
      <c r="BD43" s="605">
        <f>+AP43-AX43</f>
        <v>0</v>
      </c>
      <c r="BE43" s="712"/>
      <c r="BF43" s="712">
        <f t="shared" ref="BF43:BF99" si="65">SUM(AZ43:BD43)</f>
        <v>0</v>
      </c>
      <c r="BG43" s="712"/>
      <c r="BH43" s="712">
        <f t="shared" ref="BH43:BH99" si="66">+BF43*$BH$9</f>
        <v>0</v>
      </c>
      <c r="BJ43" s="590">
        <f t="shared" si="62"/>
        <v>401</v>
      </c>
    </row>
    <row r="44" spans="1:62">
      <c r="A44" s="590">
        <f t="shared" si="63"/>
        <v>402</v>
      </c>
      <c r="B44" s="729" t="s">
        <v>1793</v>
      </c>
      <c r="F44" s="715" t="s">
        <v>1766</v>
      </c>
      <c r="H44" s="723"/>
      <c r="J44" s="723"/>
      <c r="K44" s="712"/>
      <c r="L44" s="723"/>
      <c r="M44" s="712"/>
      <c r="N44" s="723"/>
      <c r="O44" s="712"/>
      <c r="R44" s="713" t="s">
        <v>1762</v>
      </c>
      <c r="T44" s="712">
        <v>0</v>
      </c>
      <c r="U44" s="712"/>
      <c r="V44" s="712">
        <f t="shared" ref="V44:V99" si="67">N44</f>
        <v>0</v>
      </c>
      <c r="W44" s="712"/>
      <c r="X44" s="712">
        <v>0</v>
      </c>
      <c r="Y44" s="712"/>
      <c r="Z44" s="712">
        <f t="shared" ref="Z44:Z104" si="68">SUM(T44:X44)</f>
        <v>0</v>
      </c>
      <c r="AA44" s="712"/>
      <c r="AB44" s="607" t="s">
        <v>1560</v>
      </c>
      <c r="AC44" s="712"/>
      <c r="AD44" s="712">
        <v>0</v>
      </c>
      <c r="AE44" s="712"/>
      <c r="AF44" s="723"/>
      <c r="AG44" s="712"/>
      <c r="AH44" s="712">
        <v>0</v>
      </c>
      <c r="AI44" s="712"/>
      <c r="AJ44" s="607" t="s">
        <v>1772</v>
      </c>
      <c r="AK44" s="712"/>
      <c r="AL44" s="605">
        <f t="shared" ref="AL44:AP99" si="69">+T44-AD44</f>
        <v>0</v>
      </c>
      <c r="AM44" s="712"/>
      <c r="AN44" s="605">
        <f t="shared" si="69"/>
        <v>0</v>
      </c>
      <c r="AO44" s="712"/>
      <c r="AP44" s="605">
        <f t="shared" si="69"/>
        <v>0</v>
      </c>
      <c r="AQ44" s="712"/>
      <c r="AR44" s="712">
        <f t="shared" si="64"/>
        <v>0</v>
      </c>
      <c r="AT44" s="712">
        <v>0</v>
      </c>
      <c r="AU44" s="712"/>
      <c r="AV44" s="723"/>
      <c r="AW44" s="712"/>
      <c r="AX44" s="712">
        <v>0</v>
      </c>
      <c r="AY44" s="712"/>
      <c r="AZ44" s="605">
        <f t="shared" ref="AZ44:AZ99" si="70">+AL44-AT44</f>
        <v>0</v>
      </c>
      <c r="BA44" s="712"/>
      <c r="BB44" s="605">
        <f t="shared" ref="BB44:BB99" si="71">+AN44-AV44</f>
        <v>0</v>
      </c>
      <c r="BC44" s="712"/>
      <c r="BD44" s="605">
        <f t="shared" ref="BD44:BD99" si="72">+AP44-AX44</f>
        <v>0</v>
      </c>
      <c r="BE44" s="712"/>
      <c r="BF44" s="712">
        <f t="shared" si="65"/>
        <v>0</v>
      </c>
      <c r="BG44" s="712"/>
      <c r="BH44" s="712">
        <f t="shared" si="66"/>
        <v>0</v>
      </c>
      <c r="BJ44" s="590">
        <f t="shared" si="62"/>
        <v>402</v>
      </c>
    </row>
    <row r="45" spans="1:62">
      <c r="A45" s="590">
        <f t="shared" si="63"/>
        <v>403</v>
      </c>
      <c r="B45" s="729" t="s">
        <v>1794</v>
      </c>
      <c r="F45" s="715" t="s">
        <v>1766</v>
      </c>
      <c r="H45" s="723"/>
      <c r="J45" s="723"/>
      <c r="K45" s="712"/>
      <c r="L45" s="723"/>
      <c r="M45" s="712"/>
      <c r="N45" s="723"/>
      <c r="O45" s="712"/>
      <c r="R45" s="713" t="s">
        <v>1762</v>
      </c>
      <c r="T45" s="712">
        <v>0</v>
      </c>
      <c r="U45" s="712"/>
      <c r="V45" s="712">
        <f t="shared" si="67"/>
        <v>0</v>
      </c>
      <c r="W45" s="712"/>
      <c r="X45" s="712">
        <v>0</v>
      </c>
      <c r="Y45" s="712"/>
      <c r="Z45" s="712">
        <f t="shared" si="68"/>
        <v>0</v>
      </c>
      <c r="AA45" s="712"/>
      <c r="AB45" s="607" t="s">
        <v>1560</v>
      </c>
      <c r="AC45" s="712"/>
      <c r="AD45" s="712">
        <v>0</v>
      </c>
      <c r="AE45" s="712"/>
      <c r="AF45" s="723"/>
      <c r="AG45" s="712"/>
      <c r="AH45" s="712">
        <v>0</v>
      </c>
      <c r="AI45" s="712"/>
      <c r="AJ45" s="607" t="s">
        <v>1772</v>
      </c>
      <c r="AK45" s="712"/>
      <c r="AL45" s="605">
        <f t="shared" si="69"/>
        <v>0</v>
      </c>
      <c r="AM45" s="712"/>
      <c r="AN45" s="605">
        <f t="shared" si="69"/>
        <v>0</v>
      </c>
      <c r="AO45" s="712"/>
      <c r="AP45" s="605">
        <f t="shared" si="69"/>
        <v>0</v>
      </c>
      <c r="AQ45" s="712"/>
      <c r="AR45" s="712">
        <f t="shared" si="64"/>
        <v>0</v>
      </c>
      <c r="AT45" s="712">
        <v>0</v>
      </c>
      <c r="AU45" s="712"/>
      <c r="AV45" s="723"/>
      <c r="AW45" s="712"/>
      <c r="AX45" s="712">
        <v>0</v>
      </c>
      <c r="AY45" s="712"/>
      <c r="AZ45" s="605">
        <f t="shared" si="70"/>
        <v>0</v>
      </c>
      <c r="BA45" s="712"/>
      <c r="BB45" s="605">
        <f t="shared" si="71"/>
        <v>0</v>
      </c>
      <c r="BC45" s="712"/>
      <c r="BD45" s="605">
        <f t="shared" si="72"/>
        <v>0</v>
      </c>
      <c r="BE45" s="712"/>
      <c r="BF45" s="712">
        <f t="shared" si="65"/>
        <v>0</v>
      </c>
      <c r="BG45" s="712"/>
      <c r="BH45" s="712">
        <f t="shared" si="66"/>
        <v>0</v>
      </c>
      <c r="BJ45" s="590">
        <f t="shared" si="62"/>
        <v>403</v>
      </c>
    </row>
    <row r="46" spans="1:62">
      <c r="A46" s="590">
        <f t="shared" si="63"/>
        <v>404</v>
      </c>
      <c r="B46" s="729" t="s">
        <v>1795</v>
      </c>
      <c r="F46" s="715" t="s">
        <v>1766</v>
      </c>
      <c r="H46" s="723"/>
      <c r="J46" s="723"/>
      <c r="K46" s="712"/>
      <c r="L46" s="723"/>
      <c r="M46" s="712"/>
      <c r="N46" s="723"/>
      <c r="O46" s="712"/>
      <c r="R46" s="713" t="s">
        <v>1762</v>
      </c>
      <c r="T46" s="712">
        <v>0</v>
      </c>
      <c r="U46" s="712"/>
      <c r="V46" s="712">
        <f t="shared" si="67"/>
        <v>0</v>
      </c>
      <c r="W46" s="712"/>
      <c r="X46" s="712">
        <v>0</v>
      </c>
      <c r="Y46" s="712"/>
      <c r="Z46" s="712">
        <f t="shared" si="68"/>
        <v>0</v>
      </c>
      <c r="AA46" s="712"/>
      <c r="AB46" s="607" t="s">
        <v>1560</v>
      </c>
      <c r="AC46" s="712"/>
      <c r="AD46" s="712">
        <v>0</v>
      </c>
      <c r="AE46" s="712"/>
      <c r="AF46" s="723"/>
      <c r="AG46" s="712"/>
      <c r="AH46" s="712">
        <v>0</v>
      </c>
      <c r="AI46" s="712"/>
      <c r="AJ46" s="607" t="s">
        <v>1772</v>
      </c>
      <c r="AK46" s="712"/>
      <c r="AL46" s="605">
        <f t="shared" si="69"/>
        <v>0</v>
      </c>
      <c r="AM46" s="712"/>
      <c r="AN46" s="605">
        <f t="shared" si="69"/>
        <v>0</v>
      </c>
      <c r="AO46" s="712"/>
      <c r="AP46" s="605">
        <f t="shared" si="69"/>
        <v>0</v>
      </c>
      <c r="AQ46" s="712"/>
      <c r="AR46" s="712">
        <f t="shared" si="64"/>
        <v>0</v>
      </c>
      <c r="AT46" s="712">
        <v>0</v>
      </c>
      <c r="AU46" s="712"/>
      <c r="AV46" s="723"/>
      <c r="AW46" s="712"/>
      <c r="AX46" s="712">
        <v>0</v>
      </c>
      <c r="AY46" s="712"/>
      <c r="AZ46" s="605">
        <f t="shared" si="70"/>
        <v>0</v>
      </c>
      <c r="BA46" s="712"/>
      <c r="BB46" s="605">
        <f t="shared" si="71"/>
        <v>0</v>
      </c>
      <c r="BC46" s="712"/>
      <c r="BD46" s="605">
        <f t="shared" si="72"/>
        <v>0</v>
      </c>
      <c r="BE46" s="712"/>
      <c r="BF46" s="712">
        <f t="shared" si="65"/>
        <v>0</v>
      </c>
      <c r="BG46" s="712"/>
      <c r="BH46" s="712">
        <f t="shared" si="66"/>
        <v>0</v>
      </c>
      <c r="BJ46" s="590">
        <f t="shared" si="62"/>
        <v>404</v>
      </c>
    </row>
    <row r="47" spans="1:62">
      <c r="A47" s="590">
        <f t="shared" si="63"/>
        <v>405</v>
      </c>
      <c r="B47" s="729" t="s">
        <v>1796</v>
      </c>
      <c r="F47" s="715" t="s">
        <v>1766</v>
      </c>
      <c r="H47" s="723"/>
      <c r="J47" s="723"/>
      <c r="K47" s="712"/>
      <c r="L47" s="723"/>
      <c r="M47" s="712"/>
      <c r="N47" s="723"/>
      <c r="O47" s="712"/>
      <c r="R47" s="713" t="s">
        <v>1762</v>
      </c>
      <c r="T47" s="712">
        <v>0</v>
      </c>
      <c r="U47" s="712"/>
      <c r="V47" s="712">
        <f t="shared" si="67"/>
        <v>0</v>
      </c>
      <c r="W47" s="712"/>
      <c r="X47" s="712">
        <v>0</v>
      </c>
      <c r="Y47" s="712"/>
      <c r="Z47" s="712">
        <f t="shared" si="68"/>
        <v>0</v>
      </c>
      <c r="AA47" s="712"/>
      <c r="AB47" s="607" t="s">
        <v>1560</v>
      </c>
      <c r="AC47" s="712"/>
      <c r="AD47" s="712">
        <v>0</v>
      </c>
      <c r="AE47" s="712"/>
      <c r="AF47" s="723"/>
      <c r="AG47" s="712"/>
      <c r="AH47" s="712">
        <v>0</v>
      </c>
      <c r="AI47" s="712"/>
      <c r="AJ47" s="607" t="s">
        <v>1772</v>
      </c>
      <c r="AK47" s="712"/>
      <c r="AL47" s="605">
        <f t="shared" si="69"/>
        <v>0</v>
      </c>
      <c r="AM47" s="712"/>
      <c r="AN47" s="605">
        <f t="shared" si="69"/>
        <v>0</v>
      </c>
      <c r="AO47" s="712"/>
      <c r="AP47" s="605">
        <f t="shared" si="69"/>
        <v>0</v>
      </c>
      <c r="AQ47" s="712"/>
      <c r="AR47" s="712">
        <f t="shared" si="64"/>
        <v>0</v>
      </c>
      <c r="AT47" s="712">
        <v>0</v>
      </c>
      <c r="AU47" s="712"/>
      <c r="AV47" s="723"/>
      <c r="AW47" s="712"/>
      <c r="AX47" s="712">
        <v>0</v>
      </c>
      <c r="AY47" s="712"/>
      <c r="AZ47" s="605">
        <f t="shared" si="70"/>
        <v>0</v>
      </c>
      <c r="BA47" s="712"/>
      <c r="BB47" s="605">
        <f t="shared" si="71"/>
        <v>0</v>
      </c>
      <c r="BC47" s="712"/>
      <c r="BD47" s="605">
        <f t="shared" si="72"/>
        <v>0</v>
      </c>
      <c r="BE47" s="712"/>
      <c r="BF47" s="712">
        <f t="shared" si="65"/>
        <v>0</v>
      </c>
      <c r="BG47" s="712"/>
      <c r="BH47" s="712">
        <f t="shared" si="66"/>
        <v>0</v>
      </c>
      <c r="BJ47" s="590">
        <f t="shared" si="62"/>
        <v>405</v>
      </c>
    </row>
    <row r="48" spans="1:62">
      <c r="A48" s="590">
        <f t="shared" si="63"/>
        <v>406</v>
      </c>
      <c r="B48" s="729" t="s">
        <v>1797</v>
      </c>
      <c r="F48" s="715" t="s">
        <v>1766</v>
      </c>
      <c r="H48" s="723"/>
      <c r="J48" s="723"/>
      <c r="K48" s="712"/>
      <c r="L48" s="723"/>
      <c r="M48" s="712"/>
      <c r="N48" s="723"/>
      <c r="O48" s="712"/>
      <c r="R48" s="713" t="s">
        <v>1762</v>
      </c>
      <c r="T48" s="712">
        <v>0</v>
      </c>
      <c r="U48" s="712"/>
      <c r="V48" s="712">
        <f t="shared" si="67"/>
        <v>0</v>
      </c>
      <c r="W48" s="712"/>
      <c r="X48" s="712">
        <v>0</v>
      </c>
      <c r="Y48" s="712"/>
      <c r="Z48" s="712">
        <f t="shared" si="68"/>
        <v>0</v>
      </c>
      <c r="AA48" s="712"/>
      <c r="AB48" s="607" t="s">
        <v>1560</v>
      </c>
      <c r="AC48" s="712"/>
      <c r="AD48" s="712">
        <v>0</v>
      </c>
      <c r="AE48" s="712"/>
      <c r="AF48" s="723"/>
      <c r="AG48" s="712"/>
      <c r="AH48" s="712">
        <v>0</v>
      </c>
      <c r="AI48" s="712"/>
      <c r="AJ48" s="607" t="s">
        <v>1772</v>
      </c>
      <c r="AK48" s="712"/>
      <c r="AL48" s="605">
        <f t="shared" si="69"/>
        <v>0</v>
      </c>
      <c r="AM48" s="712"/>
      <c r="AN48" s="605">
        <f t="shared" si="69"/>
        <v>0</v>
      </c>
      <c r="AO48" s="712"/>
      <c r="AP48" s="605">
        <f t="shared" si="69"/>
        <v>0</v>
      </c>
      <c r="AQ48" s="712"/>
      <c r="AR48" s="712">
        <f t="shared" si="64"/>
        <v>0</v>
      </c>
      <c r="AT48" s="712">
        <v>0</v>
      </c>
      <c r="AU48" s="712"/>
      <c r="AV48" s="723"/>
      <c r="AW48" s="712"/>
      <c r="AX48" s="712">
        <v>0</v>
      </c>
      <c r="AY48" s="712"/>
      <c r="AZ48" s="605">
        <f t="shared" si="70"/>
        <v>0</v>
      </c>
      <c r="BA48" s="712"/>
      <c r="BB48" s="605">
        <f t="shared" si="71"/>
        <v>0</v>
      </c>
      <c r="BC48" s="712"/>
      <c r="BD48" s="605">
        <f t="shared" si="72"/>
        <v>0</v>
      </c>
      <c r="BE48" s="712"/>
      <c r="BF48" s="712">
        <f t="shared" si="65"/>
        <v>0</v>
      </c>
      <c r="BG48" s="712"/>
      <c r="BH48" s="712">
        <f t="shared" si="66"/>
        <v>0</v>
      </c>
      <c r="BJ48" s="590">
        <f t="shared" si="62"/>
        <v>406</v>
      </c>
    </row>
    <row r="49" spans="1:62">
      <c r="A49" s="590">
        <f t="shared" si="63"/>
        <v>407</v>
      </c>
      <c r="B49" s="729" t="s">
        <v>1798</v>
      </c>
      <c r="F49" s="715" t="s">
        <v>1766</v>
      </c>
      <c r="H49" s="723"/>
      <c r="J49" s="723"/>
      <c r="K49" s="712"/>
      <c r="L49" s="723"/>
      <c r="M49" s="712"/>
      <c r="N49" s="723"/>
      <c r="O49" s="712"/>
      <c r="R49" s="713" t="s">
        <v>1762</v>
      </c>
      <c r="T49" s="712">
        <v>0</v>
      </c>
      <c r="U49" s="712"/>
      <c r="V49" s="712">
        <f t="shared" si="67"/>
        <v>0</v>
      </c>
      <c r="W49" s="712"/>
      <c r="X49" s="712">
        <v>0</v>
      </c>
      <c r="Y49" s="712"/>
      <c r="Z49" s="712">
        <f t="shared" si="68"/>
        <v>0</v>
      </c>
      <c r="AA49" s="712"/>
      <c r="AB49" s="607" t="s">
        <v>1560</v>
      </c>
      <c r="AC49" s="712"/>
      <c r="AD49" s="712">
        <v>0</v>
      </c>
      <c r="AE49" s="712"/>
      <c r="AF49" s="723"/>
      <c r="AG49" s="712"/>
      <c r="AH49" s="712">
        <v>0</v>
      </c>
      <c r="AI49" s="712"/>
      <c r="AJ49" s="607" t="s">
        <v>1772</v>
      </c>
      <c r="AK49" s="712"/>
      <c r="AL49" s="605">
        <f t="shared" si="69"/>
        <v>0</v>
      </c>
      <c r="AM49" s="712"/>
      <c r="AN49" s="605">
        <f t="shared" si="69"/>
        <v>0</v>
      </c>
      <c r="AO49" s="712"/>
      <c r="AP49" s="605">
        <f t="shared" si="69"/>
        <v>0</v>
      </c>
      <c r="AQ49" s="712"/>
      <c r="AR49" s="712">
        <f t="shared" si="64"/>
        <v>0</v>
      </c>
      <c r="AT49" s="712">
        <v>0</v>
      </c>
      <c r="AU49" s="712"/>
      <c r="AV49" s="723"/>
      <c r="AW49" s="712"/>
      <c r="AX49" s="712">
        <v>0</v>
      </c>
      <c r="AY49" s="712"/>
      <c r="AZ49" s="605">
        <f t="shared" si="70"/>
        <v>0</v>
      </c>
      <c r="BA49" s="712"/>
      <c r="BB49" s="605">
        <f t="shared" si="71"/>
        <v>0</v>
      </c>
      <c r="BC49" s="712"/>
      <c r="BD49" s="605">
        <f t="shared" si="72"/>
        <v>0</v>
      </c>
      <c r="BE49" s="712"/>
      <c r="BF49" s="712">
        <f t="shared" si="65"/>
        <v>0</v>
      </c>
      <c r="BG49" s="712"/>
      <c r="BH49" s="712">
        <f t="shared" si="66"/>
        <v>0</v>
      </c>
      <c r="BJ49" s="590">
        <f t="shared" si="62"/>
        <v>407</v>
      </c>
    </row>
    <row r="50" spans="1:62">
      <c r="A50" s="590">
        <f t="shared" si="63"/>
        <v>408</v>
      </c>
      <c r="B50" s="729" t="s">
        <v>1799</v>
      </c>
      <c r="F50" s="715" t="s">
        <v>1766</v>
      </c>
      <c r="H50" s="723"/>
      <c r="J50" s="723"/>
      <c r="K50" s="712"/>
      <c r="L50" s="723"/>
      <c r="M50" s="712"/>
      <c r="N50" s="723"/>
      <c r="O50" s="712"/>
      <c r="R50" s="713" t="s">
        <v>1762</v>
      </c>
      <c r="T50" s="712">
        <v>0</v>
      </c>
      <c r="U50" s="712"/>
      <c r="V50" s="712">
        <f t="shared" si="67"/>
        <v>0</v>
      </c>
      <c r="W50" s="712"/>
      <c r="X50" s="712">
        <v>0</v>
      </c>
      <c r="Y50" s="712"/>
      <c r="Z50" s="712">
        <f t="shared" si="68"/>
        <v>0</v>
      </c>
      <c r="AA50" s="712"/>
      <c r="AB50" s="607" t="s">
        <v>1560</v>
      </c>
      <c r="AC50" s="712"/>
      <c r="AD50" s="712">
        <v>0</v>
      </c>
      <c r="AE50" s="712"/>
      <c r="AF50" s="723"/>
      <c r="AG50" s="712"/>
      <c r="AH50" s="712">
        <v>0</v>
      </c>
      <c r="AI50" s="712"/>
      <c r="AJ50" s="607" t="s">
        <v>1772</v>
      </c>
      <c r="AK50" s="712"/>
      <c r="AL50" s="605">
        <f t="shared" si="69"/>
        <v>0</v>
      </c>
      <c r="AM50" s="712"/>
      <c r="AN50" s="605">
        <f t="shared" si="69"/>
        <v>0</v>
      </c>
      <c r="AO50" s="712"/>
      <c r="AP50" s="605">
        <f t="shared" si="69"/>
        <v>0</v>
      </c>
      <c r="AQ50" s="712"/>
      <c r="AR50" s="712">
        <f t="shared" si="64"/>
        <v>0</v>
      </c>
      <c r="AT50" s="712">
        <v>0</v>
      </c>
      <c r="AU50" s="712"/>
      <c r="AV50" s="723"/>
      <c r="AW50" s="712"/>
      <c r="AX50" s="712">
        <v>0</v>
      </c>
      <c r="AY50" s="712"/>
      <c r="AZ50" s="605">
        <f t="shared" si="70"/>
        <v>0</v>
      </c>
      <c r="BA50" s="712"/>
      <c r="BB50" s="605">
        <f t="shared" si="71"/>
        <v>0</v>
      </c>
      <c r="BC50" s="712"/>
      <c r="BD50" s="605">
        <f t="shared" si="72"/>
        <v>0</v>
      </c>
      <c r="BE50" s="712"/>
      <c r="BF50" s="712">
        <f t="shared" si="65"/>
        <v>0</v>
      </c>
      <c r="BG50" s="712"/>
      <c r="BH50" s="712">
        <f t="shared" si="66"/>
        <v>0</v>
      </c>
      <c r="BJ50" s="590">
        <f t="shared" si="62"/>
        <v>408</v>
      </c>
    </row>
    <row r="51" spans="1:62">
      <c r="A51" s="590">
        <f t="shared" si="63"/>
        <v>409</v>
      </c>
      <c r="B51" s="729" t="s">
        <v>1800</v>
      </c>
      <c r="F51" s="715" t="s">
        <v>1766</v>
      </c>
      <c r="H51" s="723"/>
      <c r="J51" s="723"/>
      <c r="K51" s="712"/>
      <c r="L51" s="723"/>
      <c r="M51" s="712"/>
      <c r="N51" s="723"/>
      <c r="O51" s="712"/>
      <c r="R51" s="713" t="s">
        <v>1762</v>
      </c>
      <c r="T51" s="712">
        <v>0</v>
      </c>
      <c r="U51" s="712"/>
      <c r="V51" s="712">
        <f t="shared" si="67"/>
        <v>0</v>
      </c>
      <c r="W51" s="712"/>
      <c r="X51" s="712">
        <v>0</v>
      </c>
      <c r="Y51" s="712"/>
      <c r="Z51" s="712">
        <f t="shared" si="68"/>
        <v>0</v>
      </c>
      <c r="AA51" s="712"/>
      <c r="AB51" s="607" t="s">
        <v>1560</v>
      </c>
      <c r="AC51" s="712"/>
      <c r="AD51" s="712">
        <v>0</v>
      </c>
      <c r="AE51" s="712"/>
      <c r="AF51" s="723"/>
      <c r="AG51" s="712"/>
      <c r="AH51" s="712">
        <v>0</v>
      </c>
      <c r="AI51" s="712"/>
      <c r="AJ51" s="607" t="s">
        <v>1772</v>
      </c>
      <c r="AK51" s="712"/>
      <c r="AL51" s="605">
        <f t="shared" si="69"/>
        <v>0</v>
      </c>
      <c r="AM51" s="712"/>
      <c r="AN51" s="605">
        <f t="shared" si="69"/>
        <v>0</v>
      </c>
      <c r="AO51" s="712"/>
      <c r="AP51" s="605">
        <f t="shared" si="69"/>
        <v>0</v>
      </c>
      <c r="AQ51" s="712"/>
      <c r="AR51" s="712">
        <f t="shared" si="64"/>
        <v>0</v>
      </c>
      <c r="AT51" s="712">
        <v>0</v>
      </c>
      <c r="AU51" s="712"/>
      <c r="AV51" s="723"/>
      <c r="AW51" s="712"/>
      <c r="AX51" s="712">
        <v>0</v>
      </c>
      <c r="AY51" s="712"/>
      <c r="AZ51" s="605">
        <f t="shared" si="70"/>
        <v>0</v>
      </c>
      <c r="BA51" s="712"/>
      <c r="BB51" s="605">
        <f t="shared" si="71"/>
        <v>0</v>
      </c>
      <c r="BC51" s="712"/>
      <c r="BD51" s="605">
        <f t="shared" si="72"/>
        <v>0</v>
      </c>
      <c r="BE51" s="712"/>
      <c r="BF51" s="712">
        <f t="shared" si="65"/>
        <v>0</v>
      </c>
      <c r="BG51" s="712"/>
      <c r="BH51" s="712">
        <f t="shared" si="66"/>
        <v>0</v>
      </c>
      <c r="BJ51" s="590">
        <f t="shared" si="62"/>
        <v>409</v>
      </c>
    </row>
    <row r="52" spans="1:62">
      <c r="A52" s="590">
        <f t="shared" si="63"/>
        <v>410</v>
      </c>
      <c r="B52" s="729" t="s">
        <v>1801</v>
      </c>
      <c r="F52" s="715" t="s">
        <v>1766</v>
      </c>
      <c r="H52" s="723"/>
      <c r="J52" s="723"/>
      <c r="K52" s="712"/>
      <c r="L52" s="723"/>
      <c r="M52" s="712"/>
      <c r="N52" s="723"/>
      <c r="O52" s="712"/>
      <c r="R52" s="713" t="s">
        <v>1762</v>
      </c>
      <c r="T52" s="712">
        <v>0</v>
      </c>
      <c r="U52" s="712"/>
      <c r="V52" s="712">
        <f t="shared" si="67"/>
        <v>0</v>
      </c>
      <c r="W52" s="712"/>
      <c r="X52" s="712">
        <v>0</v>
      </c>
      <c r="Y52" s="712"/>
      <c r="Z52" s="712">
        <f t="shared" si="68"/>
        <v>0</v>
      </c>
      <c r="AA52" s="712"/>
      <c r="AB52" s="607" t="s">
        <v>1560</v>
      </c>
      <c r="AC52" s="712"/>
      <c r="AD52" s="712">
        <v>0</v>
      </c>
      <c r="AE52" s="712"/>
      <c r="AF52" s="723"/>
      <c r="AG52" s="712"/>
      <c r="AH52" s="712">
        <v>0</v>
      </c>
      <c r="AI52" s="712"/>
      <c r="AJ52" s="607" t="s">
        <v>1772</v>
      </c>
      <c r="AK52" s="712"/>
      <c r="AL52" s="605">
        <f t="shared" si="69"/>
        <v>0</v>
      </c>
      <c r="AM52" s="712"/>
      <c r="AN52" s="605">
        <f t="shared" si="69"/>
        <v>0</v>
      </c>
      <c r="AO52" s="712"/>
      <c r="AP52" s="605">
        <f t="shared" si="69"/>
        <v>0</v>
      </c>
      <c r="AQ52" s="712"/>
      <c r="AR52" s="712">
        <f t="shared" si="64"/>
        <v>0</v>
      </c>
      <c r="AT52" s="712">
        <v>0</v>
      </c>
      <c r="AU52" s="712"/>
      <c r="AV52" s="723"/>
      <c r="AW52" s="712"/>
      <c r="AX52" s="712">
        <v>0</v>
      </c>
      <c r="AY52" s="712"/>
      <c r="AZ52" s="605">
        <f t="shared" si="70"/>
        <v>0</v>
      </c>
      <c r="BA52" s="712"/>
      <c r="BB52" s="605">
        <f t="shared" si="71"/>
        <v>0</v>
      </c>
      <c r="BC52" s="712"/>
      <c r="BD52" s="605">
        <f t="shared" si="72"/>
        <v>0</v>
      </c>
      <c r="BE52" s="712"/>
      <c r="BF52" s="712">
        <f t="shared" si="65"/>
        <v>0</v>
      </c>
      <c r="BG52" s="712"/>
      <c r="BH52" s="712">
        <f t="shared" si="66"/>
        <v>0</v>
      </c>
      <c r="BJ52" s="590">
        <f t="shared" si="62"/>
        <v>410</v>
      </c>
    </row>
    <row r="53" spans="1:62">
      <c r="A53" s="590">
        <f t="shared" si="63"/>
        <v>411</v>
      </c>
      <c r="B53" s="729" t="s">
        <v>1802</v>
      </c>
      <c r="F53" s="715" t="s">
        <v>1766</v>
      </c>
      <c r="H53" s="723"/>
      <c r="J53" s="723"/>
      <c r="K53" s="712"/>
      <c r="L53" s="723"/>
      <c r="M53" s="712"/>
      <c r="N53" s="723"/>
      <c r="O53" s="712"/>
      <c r="R53" s="713" t="s">
        <v>1762</v>
      </c>
      <c r="T53" s="712">
        <v>0</v>
      </c>
      <c r="U53" s="712"/>
      <c r="V53" s="712">
        <f t="shared" si="67"/>
        <v>0</v>
      </c>
      <c r="W53" s="712"/>
      <c r="X53" s="712">
        <v>0</v>
      </c>
      <c r="Y53" s="712"/>
      <c r="Z53" s="712">
        <f t="shared" si="68"/>
        <v>0</v>
      </c>
      <c r="AA53" s="712"/>
      <c r="AB53" s="607" t="s">
        <v>1560</v>
      </c>
      <c r="AC53" s="712"/>
      <c r="AD53" s="712">
        <v>0</v>
      </c>
      <c r="AE53" s="712"/>
      <c r="AF53" s="723"/>
      <c r="AG53" s="712"/>
      <c r="AH53" s="712">
        <v>0</v>
      </c>
      <c r="AI53" s="712"/>
      <c r="AJ53" s="607" t="s">
        <v>1772</v>
      </c>
      <c r="AK53" s="712"/>
      <c r="AL53" s="605">
        <f t="shared" si="69"/>
        <v>0</v>
      </c>
      <c r="AM53" s="712"/>
      <c r="AN53" s="605">
        <f t="shared" si="69"/>
        <v>0</v>
      </c>
      <c r="AO53" s="712"/>
      <c r="AP53" s="605">
        <f t="shared" si="69"/>
        <v>0</v>
      </c>
      <c r="AQ53" s="712"/>
      <c r="AR53" s="712">
        <f t="shared" si="64"/>
        <v>0</v>
      </c>
      <c r="AT53" s="712">
        <v>0</v>
      </c>
      <c r="AU53" s="712"/>
      <c r="AV53" s="723"/>
      <c r="AW53" s="712"/>
      <c r="AX53" s="712">
        <v>0</v>
      </c>
      <c r="AY53" s="712"/>
      <c r="AZ53" s="605">
        <f t="shared" si="70"/>
        <v>0</v>
      </c>
      <c r="BA53" s="712"/>
      <c r="BB53" s="605">
        <f t="shared" si="71"/>
        <v>0</v>
      </c>
      <c r="BC53" s="712"/>
      <c r="BD53" s="605">
        <f t="shared" si="72"/>
        <v>0</v>
      </c>
      <c r="BE53" s="712"/>
      <c r="BF53" s="712">
        <f t="shared" si="65"/>
        <v>0</v>
      </c>
      <c r="BG53" s="712"/>
      <c r="BH53" s="712">
        <f t="shared" si="66"/>
        <v>0</v>
      </c>
      <c r="BJ53" s="590">
        <f t="shared" si="62"/>
        <v>411</v>
      </c>
    </row>
    <row r="54" spans="1:62">
      <c r="A54" s="590">
        <f t="shared" si="63"/>
        <v>412</v>
      </c>
      <c r="B54" s="729" t="s">
        <v>1803</v>
      </c>
      <c r="F54" s="715" t="s">
        <v>1766</v>
      </c>
      <c r="H54" s="723"/>
      <c r="J54" s="723"/>
      <c r="K54" s="712"/>
      <c r="L54" s="723"/>
      <c r="M54" s="712"/>
      <c r="N54" s="723"/>
      <c r="O54" s="712"/>
      <c r="R54" s="713" t="s">
        <v>1762</v>
      </c>
      <c r="T54" s="712">
        <v>0</v>
      </c>
      <c r="U54" s="712"/>
      <c r="V54" s="712">
        <f t="shared" si="67"/>
        <v>0</v>
      </c>
      <c r="W54" s="712"/>
      <c r="X54" s="712">
        <v>0</v>
      </c>
      <c r="Y54" s="712"/>
      <c r="Z54" s="712">
        <f t="shared" si="68"/>
        <v>0</v>
      </c>
      <c r="AA54" s="712"/>
      <c r="AB54" s="607" t="s">
        <v>1560</v>
      </c>
      <c r="AC54" s="712"/>
      <c r="AD54" s="712">
        <v>0</v>
      </c>
      <c r="AE54" s="712"/>
      <c r="AF54" s="723"/>
      <c r="AG54" s="712"/>
      <c r="AH54" s="712">
        <v>0</v>
      </c>
      <c r="AI54" s="712"/>
      <c r="AJ54" s="607" t="s">
        <v>1772</v>
      </c>
      <c r="AK54" s="712"/>
      <c r="AL54" s="605">
        <f t="shared" si="69"/>
        <v>0</v>
      </c>
      <c r="AM54" s="712"/>
      <c r="AN54" s="605">
        <f t="shared" si="69"/>
        <v>0</v>
      </c>
      <c r="AO54" s="712"/>
      <c r="AP54" s="605">
        <f t="shared" si="69"/>
        <v>0</v>
      </c>
      <c r="AQ54" s="712"/>
      <c r="AR54" s="712">
        <f t="shared" si="64"/>
        <v>0</v>
      </c>
      <c r="AT54" s="712">
        <v>0</v>
      </c>
      <c r="AU54" s="712"/>
      <c r="AV54" s="723"/>
      <c r="AW54" s="712"/>
      <c r="AX54" s="712">
        <v>0</v>
      </c>
      <c r="AY54" s="712"/>
      <c r="AZ54" s="605">
        <f t="shared" si="70"/>
        <v>0</v>
      </c>
      <c r="BA54" s="712"/>
      <c r="BB54" s="605">
        <f t="shared" si="71"/>
        <v>0</v>
      </c>
      <c r="BC54" s="712"/>
      <c r="BD54" s="605">
        <f t="shared" si="72"/>
        <v>0</v>
      </c>
      <c r="BE54" s="712"/>
      <c r="BF54" s="712">
        <f t="shared" si="65"/>
        <v>0</v>
      </c>
      <c r="BG54" s="712"/>
      <c r="BH54" s="712">
        <f t="shared" si="66"/>
        <v>0</v>
      </c>
      <c r="BJ54" s="590">
        <f t="shared" si="62"/>
        <v>412</v>
      </c>
    </row>
    <row r="55" spans="1:62">
      <c r="A55" s="590">
        <f t="shared" si="63"/>
        <v>413</v>
      </c>
      <c r="B55" s="729" t="s">
        <v>1804</v>
      </c>
      <c r="F55" s="715" t="s">
        <v>1766</v>
      </c>
      <c r="H55" s="723"/>
      <c r="J55" s="723"/>
      <c r="K55" s="712"/>
      <c r="L55" s="723"/>
      <c r="M55" s="712"/>
      <c r="N55" s="723"/>
      <c r="O55" s="712"/>
      <c r="R55" s="713" t="s">
        <v>1762</v>
      </c>
      <c r="T55" s="712">
        <v>0</v>
      </c>
      <c r="U55" s="712"/>
      <c r="V55" s="712">
        <f t="shared" si="67"/>
        <v>0</v>
      </c>
      <c r="W55" s="712"/>
      <c r="X55" s="712">
        <v>0</v>
      </c>
      <c r="Y55" s="712"/>
      <c r="Z55" s="712">
        <f t="shared" si="68"/>
        <v>0</v>
      </c>
      <c r="AA55" s="712"/>
      <c r="AB55" s="607" t="s">
        <v>1560</v>
      </c>
      <c r="AC55" s="712"/>
      <c r="AD55" s="712">
        <v>0</v>
      </c>
      <c r="AE55" s="712"/>
      <c r="AF55" s="723"/>
      <c r="AG55" s="712"/>
      <c r="AH55" s="712">
        <v>0</v>
      </c>
      <c r="AI55" s="712"/>
      <c r="AJ55" s="607" t="s">
        <v>1772</v>
      </c>
      <c r="AK55" s="712"/>
      <c r="AL55" s="605">
        <f t="shared" si="69"/>
        <v>0</v>
      </c>
      <c r="AM55" s="712"/>
      <c r="AN55" s="605">
        <f t="shared" si="69"/>
        <v>0</v>
      </c>
      <c r="AO55" s="712"/>
      <c r="AP55" s="605">
        <f t="shared" si="69"/>
        <v>0</v>
      </c>
      <c r="AQ55" s="712"/>
      <c r="AR55" s="712">
        <f t="shared" si="64"/>
        <v>0</v>
      </c>
      <c r="AT55" s="712">
        <v>0</v>
      </c>
      <c r="AU55" s="712"/>
      <c r="AV55" s="723"/>
      <c r="AW55" s="712"/>
      <c r="AX55" s="712">
        <v>0</v>
      </c>
      <c r="AY55" s="712"/>
      <c r="AZ55" s="605">
        <f t="shared" si="70"/>
        <v>0</v>
      </c>
      <c r="BA55" s="712"/>
      <c r="BB55" s="605">
        <f t="shared" si="71"/>
        <v>0</v>
      </c>
      <c r="BC55" s="712"/>
      <c r="BD55" s="605">
        <f t="shared" si="72"/>
        <v>0</v>
      </c>
      <c r="BE55" s="712"/>
      <c r="BF55" s="712">
        <f t="shared" si="65"/>
        <v>0</v>
      </c>
      <c r="BG55" s="712"/>
      <c r="BH55" s="712">
        <f t="shared" si="66"/>
        <v>0</v>
      </c>
      <c r="BJ55" s="590">
        <f t="shared" si="62"/>
        <v>413</v>
      </c>
    </row>
    <row r="56" spans="1:62">
      <c r="A56" s="590">
        <f t="shared" si="63"/>
        <v>414</v>
      </c>
      <c r="B56" s="729" t="s">
        <v>1805</v>
      </c>
      <c r="F56" s="715" t="s">
        <v>1766</v>
      </c>
      <c r="H56" s="723"/>
      <c r="J56" s="723"/>
      <c r="K56" s="712"/>
      <c r="L56" s="723"/>
      <c r="M56" s="712"/>
      <c r="N56" s="723"/>
      <c r="O56" s="712"/>
      <c r="R56" s="713" t="s">
        <v>1762</v>
      </c>
      <c r="T56" s="712">
        <v>0</v>
      </c>
      <c r="U56" s="712"/>
      <c r="V56" s="712">
        <f t="shared" si="67"/>
        <v>0</v>
      </c>
      <c r="W56" s="712"/>
      <c r="X56" s="712">
        <v>0</v>
      </c>
      <c r="Y56" s="712"/>
      <c r="Z56" s="712">
        <f t="shared" si="68"/>
        <v>0</v>
      </c>
      <c r="AA56" s="712"/>
      <c r="AB56" s="607" t="s">
        <v>1560</v>
      </c>
      <c r="AC56" s="712"/>
      <c r="AD56" s="712">
        <v>0</v>
      </c>
      <c r="AE56" s="712"/>
      <c r="AF56" s="723"/>
      <c r="AG56" s="712"/>
      <c r="AH56" s="712">
        <v>0</v>
      </c>
      <c r="AI56" s="712"/>
      <c r="AJ56" s="607" t="s">
        <v>1772</v>
      </c>
      <c r="AK56" s="712"/>
      <c r="AL56" s="605">
        <f t="shared" si="69"/>
        <v>0</v>
      </c>
      <c r="AM56" s="712"/>
      <c r="AN56" s="605">
        <f t="shared" si="69"/>
        <v>0</v>
      </c>
      <c r="AO56" s="712"/>
      <c r="AP56" s="605">
        <f t="shared" si="69"/>
        <v>0</v>
      </c>
      <c r="AQ56" s="712"/>
      <c r="AR56" s="712">
        <f t="shared" si="64"/>
        <v>0</v>
      </c>
      <c r="AT56" s="712">
        <v>0</v>
      </c>
      <c r="AU56" s="712"/>
      <c r="AV56" s="723"/>
      <c r="AW56" s="712"/>
      <c r="AX56" s="712">
        <v>0</v>
      </c>
      <c r="AY56" s="712"/>
      <c r="AZ56" s="605">
        <f t="shared" si="70"/>
        <v>0</v>
      </c>
      <c r="BA56" s="712"/>
      <c r="BB56" s="605">
        <f t="shared" si="71"/>
        <v>0</v>
      </c>
      <c r="BC56" s="712"/>
      <c r="BD56" s="605">
        <f t="shared" si="72"/>
        <v>0</v>
      </c>
      <c r="BE56" s="712"/>
      <c r="BF56" s="712">
        <f t="shared" si="65"/>
        <v>0</v>
      </c>
      <c r="BG56" s="712"/>
      <c r="BH56" s="712">
        <f t="shared" si="66"/>
        <v>0</v>
      </c>
      <c r="BJ56" s="590">
        <f t="shared" si="62"/>
        <v>414</v>
      </c>
    </row>
    <row r="57" spans="1:62">
      <c r="A57" s="590">
        <f t="shared" si="63"/>
        <v>415</v>
      </c>
      <c r="B57" s="729" t="s">
        <v>1806</v>
      </c>
      <c r="F57" s="715" t="s">
        <v>1766</v>
      </c>
      <c r="H57" s="723"/>
      <c r="J57" s="723"/>
      <c r="K57" s="712"/>
      <c r="L57" s="723"/>
      <c r="M57" s="712"/>
      <c r="N57" s="723"/>
      <c r="O57" s="712"/>
      <c r="R57" s="713" t="s">
        <v>1762</v>
      </c>
      <c r="T57" s="712">
        <v>0</v>
      </c>
      <c r="U57" s="712"/>
      <c r="V57" s="712">
        <f t="shared" si="67"/>
        <v>0</v>
      </c>
      <c r="W57" s="712"/>
      <c r="X57" s="712">
        <v>0</v>
      </c>
      <c r="Y57" s="712"/>
      <c r="Z57" s="712">
        <f t="shared" si="68"/>
        <v>0</v>
      </c>
      <c r="AA57" s="712"/>
      <c r="AB57" s="607" t="s">
        <v>1560</v>
      </c>
      <c r="AC57" s="712"/>
      <c r="AD57" s="712">
        <v>0</v>
      </c>
      <c r="AE57" s="712"/>
      <c r="AF57" s="723"/>
      <c r="AG57" s="712"/>
      <c r="AH57" s="712">
        <v>0</v>
      </c>
      <c r="AI57" s="712"/>
      <c r="AJ57" s="607" t="s">
        <v>1772</v>
      </c>
      <c r="AK57" s="712"/>
      <c r="AL57" s="605">
        <f t="shared" si="69"/>
        <v>0</v>
      </c>
      <c r="AM57" s="712"/>
      <c r="AN57" s="605">
        <f t="shared" si="69"/>
        <v>0</v>
      </c>
      <c r="AO57" s="712"/>
      <c r="AP57" s="605">
        <f t="shared" si="69"/>
        <v>0</v>
      </c>
      <c r="AQ57" s="712"/>
      <c r="AR57" s="712">
        <f t="shared" si="64"/>
        <v>0</v>
      </c>
      <c r="AT57" s="712">
        <v>0</v>
      </c>
      <c r="AU57" s="712"/>
      <c r="AV57" s="723"/>
      <c r="AW57" s="712"/>
      <c r="AX57" s="712">
        <v>0</v>
      </c>
      <c r="AY57" s="712"/>
      <c r="AZ57" s="605">
        <f t="shared" si="70"/>
        <v>0</v>
      </c>
      <c r="BA57" s="712"/>
      <c r="BB57" s="605">
        <f t="shared" si="71"/>
        <v>0</v>
      </c>
      <c r="BC57" s="712"/>
      <c r="BD57" s="605">
        <f t="shared" si="72"/>
        <v>0</v>
      </c>
      <c r="BE57" s="712"/>
      <c r="BF57" s="712">
        <f t="shared" si="65"/>
        <v>0</v>
      </c>
      <c r="BG57" s="712"/>
      <c r="BH57" s="712">
        <f t="shared" si="66"/>
        <v>0</v>
      </c>
      <c r="BJ57" s="590">
        <f t="shared" si="62"/>
        <v>415</v>
      </c>
    </row>
    <row r="58" spans="1:62">
      <c r="A58" s="590">
        <f t="shared" si="63"/>
        <v>416</v>
      </c>
      <c r="B58" s="729" t="s">
        <v>1807</v>
      </c>
      <c r="F58" s="715" t="s">
        <v>1766</v>
      </c>
      <c r="H58" s="723"/>
      <c r="J58" s="723"/>
      <c r="K58" s="712"/>
      <c r="L58" s="723"/>
      <c r="M58" s="712"/>
      <c r="N58" s="723"/>
      <c r="O58" s="712"/>
      <c r="R58" s="713" t="s">
        <v>1762</v>
      </c>
      <c r="T58" s="712">
        <v>0</v>
      </c>
      <c r="U58" s="712"/>
      <c r="V58" s="712">
        <f t="shared" si="67"/>
        <v>0</v>
      </c>
      <c r="W58" s="712"/>
      <c r="X58" s="712">
        <v>0</v>
      </c>
      <c r="Y58" s="712"/>
      <c r="Z58" s="712">
        <f t="shared" si="68"/>
        <v>0</v>
      </c>
      <c r="AA58" s="712"/>
      <c r="AB58" s="607" t="s">
        <v>1560</v>
      </c>
      <c r="AC58" s="712"/>
      <c r="AD58" s="712">
        <v>0</v>
      </c>
      <c r="AE58" s="712"/>
      <c r="AF58" s="723"/>
      <c r="AG58" s="712"/>
      <c r="AH58" s="712">
        <v>0</v>
      </c>
      <c r="AI58" s="712"/>
      <c r="AJ58" s="607" t="s">
        <v>1772</v>
      </c>
      <c r="AK58" s="712"/>
      <c r="AL58" s="605">
        <f t="shared" si="69"/>
        <v>0</v>
      </c>
      <c r="AM58" s="712"/>
      <c r="AN58" s="605">
        <f t="shared" si="69"/>
        <v>0</v>
      </c>
      <c r="AO58" s="712"/>
      <c r="AP58" s="605">
        <f t="shared" si="69"/>
        <v>0</v>
      </c>
      <c r="AQ58" s="712"/>
      <c r="AR58" s="712">
        <f t="shared" si="64"/>
        <v>0</v>
      </c>
      <c r="AT58" s="712">
        <v>0</v>
      </c>
      <c r="AU58" s="712"/>
      <c r="AV58" s="723"/>
      <c r="AW58" s="712"/>
      <c r="AX58" s="712">
        <v>0</v>
      </c>
      <c r="AY58" s="712"/>
      <c r="AZ58" s="605">
        <f t="shared" si="70"/>
        <v>0</v>
      </c>
      <c r="BA58" s="712"/>
      <c r="BB58" s="605">
        <f t="shared" si="71"/>
        <v>0</v>
      </c>
      <c r="BC58" s="712"/>
      <c r="BD58" s="605">
        <f t="shared" si="72"/>
        <v>0</v>
      </c>
      <c r="BE58" s="712"/>
      <c r="BF58" s="712">
        <f t="shared" si="65"/>
        <v>0</v>
      </c>
      <c r="BG58" s="712"/>
      <c r="BH58" s="712">
        <f t="shared" si="66"/>
        <v>0</v>
      </c>
      <c r="BJ58" s="590">
        <f t="shared" si="62"/>
        <v>416</v>
      </c>
    </row>
    <row r="59" spans="1:62">
      <c r="A59" s="590">
        <f t="shared" si="63"/>
        <v>417</v>
      </c>
      <c r="B59" s="729" t="s">
        <v>1808</v>
      </c>
      <c r="F59" s="715" t="s">
        <v>1766</v>
      </c>
      <c r="H59" s="723"/>
      <c r="J59" s="723"/>
      <c r="K59" s="712"/>
      <c r="L59" s="723"/>
      <c r="M59" s="712"/>
      <c r="N59" s="723"/>
      <c r="O59" s="712"/>
      <c r="R59" s="713" t="s">
        <v>1762</v>
      </c>
      <c r="T59" s="712">
        <v>0</v>
      </c>
      <c r="U59" s="712"/>
      <c r="V59" s="712">
        <f t="shared" si="67"/>
        <v>0</v>
      </c>
      <c r="W59" s="712"/>
      <c r="X59" s="712">
        <v>0</v>
      </c>
      <c r="Y59" s="712"/>
      <c r="Z59" s="712">
        <f t="shared" si="68"/>
        <v>0</v>
      </c>
      <c r="AA59" s="712"/>
      <c r="AB59" s="607" t="s">
        <v>1560</v>
      </c>
      <c r="AC59" s="712"/>
      <c r="AD59" s="712">
        <v>0</v>
      </c>
      <c r="AE59" s="712"/>
      <c r="AF59" s="723"/>
      <c r="AG59" s="712"/>
      <c r="AH59" s="712">
        <v>0</v>
      </c>
      <c r="AI59" s="712"/>
      <c r="AJ59" s="607" t="s">
        <v>1772</v>
      </c>
      <c r="AK59" s="712"/>
      <c r="AL59" s="605">
        <f t="shared" si="69"/>
        <v>0</v>
      </c>
      <c r="AM59" s="712"/>
      <c r="AN59" s="605">
        <f t="shared" si="69"/>
        <v>0</v>
      </c>
      <c r="AO59" s="712"/>
      <c r="AP59" s="605">
        <f t="shared" si="69"/>
        <v>0</v>
      </c>
      <c r="AQ59" s="712"/>
      <c r="AR59" s="712">
        <f t="shared" si="64"/>
        <v>0</v>
      </c>
      <c r="AT59" s="712">
        <v>0</v>
      </c>
      <c r="AU59" s="712"/>
      <c r="AV59" s="723"/>
      <c r="AW59" s="712"/>
      <c r="AX59" s="712">
        <v>0</v>
      </c>
      <c r="AY59" s="712"/>
      <c r="AZ59" s="605">
        <f t="shared" si="70"/>
        <v>0</v>
      </c>
      <c r="BA59" s="712"/>
      <c r="BB59" s="605">
        <f t="shared" si="71"/>
        <v>0</v>
      </c>
      <c r="BC59" s="712"/>
      <c r="BD59" s="605">
        <f t="shared" si="72"/>
        <v>0</v>
      </c>
      <c r="BE59" s="712"/>
      <c r="BF59" s="712">
        <f t="shared" si="65"/>
        <v>0</v>
      </c>
      <c r="BG59" s="712"/>
      <c r="BH59" s="712">
        <f t="shared" si="66"/>
        <v>0</v>
      </c>
      <c r="BJ59" s="590">
        <f t="shared" si="62"/>
        <v>417</v>
      </c>
    </row>
    <row r="60" spans="1:62">
      <c r="A60" s="590">
        <f t="shared" si="63"/>
        <v>418</v>
      </c>
      <c r="B60" s="729" t="s">
        <v>1809</v>
      </c>
      <c r="F60" s="715" t="s">
        <v>1766</v>
      </c>
      <c r="H60" s="723"/>
      <c r="J60" s="723"/>
      <c r="K60" s="712"/>
      <c r="L60" s="723"/>
      <c r="M60" s="712"/>
      <c r="N60" s="723"/>
      <c r="O60" s="712"/>
      <c r="R60" s="713" t="s">
        <v>1762</v>
      </c>
      <c r="T60" s="712">
        <v>0</v>
      </c>
      <c r="U60" s="712"/>
      <c r="V60" s="712">
        <f t="shared" si="67"/>
        <v>0</v>
      </c>
      <c r="W60" s="712"/>
      <c r="X60" s="712">
        <v>0</v>
      </c>
      <c r="Y60" s="712"/>
      <c r="Z60" s="712">
        <f t="shared" si="68"/>
        <v>0</v>
      </c>
      <c r="AA60" s="712"/>
      <c r="AB60" s="607" t="s">
        <v>1560</v>
      </c>
      <c r="AC60" s="712"/>
      <c r="AD60" s="712">
        <v>0</v>
      </c>
      <c r="AE60" s="712"/>
      <c r="AF60" s="723"/>
      <c r="AG60" s="712"/>
      <c r="AH60" s="712">
        <v>0</v>
      </c>
      <c r="AI60" s="712"/>
      <c r="AJ60" s="607" t="s">
        <v>1772</v>
      </c>
      <c r="AK60" s="712"/>
      <c r="AL60" s="605">
        <f t="shared" si="69"/>
        <v>0</v>
      </c>
      <c r="AM60" s="712"/>
      <c r="AN60" s="605">
        <f t="shared" si="69"/>
        <v>0</v>
      </c>
      <c r="AO60" s="712"/>
      <c r="AP60" s="605">
        <f t="shared" si="69"/>
        <v>0</v>
      </c>
      <c r="AQ60" s="712"/>
      <c r="AR60" s="712">
        <f t="shared" si="64"/>
        <v>0</v>
      </c>
      <c r="AT60" s="712">
        <v>0</v>
      </c>
      <c r="AU60" s="712"/>
      <c r="AV60" s="723"/>
      <c r="AW60" s="712"/>
      <c r="AX60" s="712">
        <v>0</v>
      </c>
      <c r="AY60" s="712"/>
      <c r="AZ60" s="605">
        <f t="shared" si="70"/>
        <v>0</v>
      </c>
      <c r="BA60" s="712"/>
      <c r="BB60" s="605">
        <f t="shared" si="71"/>
        <v>0</v>
      </c>
      <c r="BC60" s="712"/>
      <c r="BD60" s="605">
        <f t="shared" si="72"/>
        <v>0</v>
      </c>
      <c r="BE60" s="712"/>
      <c r="BF60" s="712">
        <f t="shared" si="65"/>
        <v>0</v>
      </c>
      <c r="BG60" s="712"/>
      <c r="BH60" s="712">
        <f t="shared" si="66"/>
        <v>0</v>
      </c>
      <c r="BJ60" s="590">
        <f t="shared" si="62"/>
        <v>418</v>
      </c>
    </row>
    <row r="61" spans="1:62">
      <c r="A61" s="590">
        <f t="shared" si="63"/>
        <v>419</v>
      </c>
      <c r="B61" s="729" t="s">
        <v>1810</v>
      </c>
      <c r="F61" s="715" t="s">
        <v>1766</v>
      </c>
      <c r="H61" s="723"/>
      <c r="J61" s="723"/>
      <c r="K61" s="712"/>
      <c r="L61" s="723"/>
      <c r="M61" s="712"/>
      <c r="N61" s="723"/>
      <c r="O61" s="712"/>
      <c r="R61" s="713" t="s">
        <v>1762</v>
      </c>
      <c r="T61" s="712">
        <v>0</v>
      </c>
      <c r="U61" s="712"/>
      <c r="V61" s="712">
        <f t="shared" si="67"/>
        <v>0</v>
      </c>
      <c r="W61" s="712"/>
      <c r="X61" s="712">
        <v>0</v>
      </c>
      <c r="Y61" s="712"/>
      <c r="Z61" s="712">
        <f t="shared" si="68"/>
        <v>0</v>
      </c>
      <c r="AA61" s="712"/>
      <c r="AB61" s="607" t="s">
        <v>1560</v>
      </c>
      <c r="AC61" s="712"/>
      <c r="AD61" s="712">
        <v>0</v>
      </c>
      <c r="AE61" s="712"/>
      <c r="AF61" s="723"/>
      <c r="AG61" s="712"/>
      <c r="AH61" s="712">
        <v>0</v>
      </c>
      <c r="AI61" s="712"/>
      <c r="AJ61" s="607" t="s">
        <v>1772</v>
      </c>
      <c r="AK61" s="712"/>
      <c r="AL61" s="605">
        <f t="shared" si="69"/>
        <v>0</v>
      </c>
      <c r="AM61" s="712"/>
      <c r="AN61" s="605">
        <f t="shared" si="69"/>
        <v>0</v>
      </c>
      <c r="AO61" s="712"/>
      <c r="AP61" s="605">
        <f t="shared" si="69"/>
        <v>0</v>
      </c>
      <c r="AQ61" s="712"/>
      <c r="AR61" s="712">
        <f t="shared" si="64"/>
        <v>0</v>
      </c>
      <c r="AT61" s="712">
        <v>0</v>
      </c>
      <c r="AU61" s="712"/>
      <c r="AV61" s="723"/>
      <c r="AW61" s="712"/>
      <c r="AX61" s="712">
        <v>0</v>
      </c>
      <c r="AY61" s="712"/>
      <c r="AZ61" s="605">
        <f t="shared" si="70"/>
        <v>0</v>
      </c>
      <c r="BA61" s="712"/>
      <c r="BB61" s="605">
        <f t="shared" si="71"/>
        <v>0</v>
      </c>
      <c r="BC61" s="712"/>
      <c r="BD61" s="605">
        <f t="shared" si="72"/>
        <v>0</v>
      </c>
      <c r="BE61" s="712"/>
      <c r="BF61" s="712">
        <f t="shared" si="65"/>
        <v>0</v>
      </c>
      <c r="BG61" s="712"/>
      <c r="BH61" s="712">
        <f t="shared" si="66"/>
        <v>0</v>
      </c>
      <c r="BJ61" s="590">
        <f t="shared" si="62"/>
        <v>419</v>
      </c>
    </row>
    <row r="62" spans="1:62">
      <c r="A62" s="590">
        <f t="shared" si="63"/>
        <v>420</v>
      </c>
      <c r="B62" s="729" t="s">
        <v>1811</v>
      </c>
      <c r="F62" s="715" t="s">
        <v>1766</v>
      </c>
      <c r="H62" s="723"/>
      <c r="J62" s="723"/>
      <c r="K62" s="712"/>
      <c r="L62" s="723"/>
      <c r="M62" s="712"/>
      <c r="N62" s="723"/>
      <c r="O62" s="712"/>
      <c r="R62" s="713" t="s">
        <v>1762</v>
      </c>
      <c r="T62" s="712">
        <v>0</v>
      </c>
      <c r="U62" s="712"/>
      <c r="V62" s="712">
        <f t="shared" si="67"/>
        <v>0</v>
      </c>
      <c r="W62" s="712"/>
      <c r="X62" s="712">
        <v>0</v>
      </c>
      <c r="Y62" s="712"/>
      <c r="Z62" s="712">
        <f t="shared" si="68"/>
        <v>0</v>
      </c>
      <c r="AA62" s="712"/>
      <c r="AB62" s="607" t="s">
        <v>1560</v>
      </c>
      <c r="AC62" s="712"/>
      <c r="AD62" s="712">
        <v>0</v>
      </c>
      <c r="AE62" s="712"/>
      <c r="AF62" s="723"/>
      <c r="AG62" s="712"/>
      <c r="AH62" s="712">
        <v>0</v>
      </c>
      <c r="AI62" s="712"/>
      <c r="AJ62" s="607" t="s">
        <v>1772</v>
      </c>
      <c r="AK62" s="712"/>
      <c r="AL62" s="605">
        <f t="shared" si="69"/>
        <v>0</v>
      </c>
      <c r="AM62" s="712"/>
      <c r="AN62" s="605">
        <f t="shared" si="69"/>
        <v>0</v>
      </c>
      <c r="AO62" s="712"/>
      <c r="AP62" s="605">
        <f t="shared" si="69"/>
        <v>0</v>
      </c>
      <c r="AQ62" s="712"/>
      <c r="AR62" s="712">
        <f t="shared" si="64"/>
        <v>0</v>
      </c>
      <c r="AT62" s="712">
        <v>0</v>
      </c>
      <c r="AU62" s="712"/>
      <c r="AV62" s="723"/>
      <c r="AW62" s="712"/>
      <c r="AX62" s="712">
        <v>0</v>
      </c>
      <c r="AY62" s="712"/>
      <c r="AZ62" s="605">
        <f t="shared" si="70"/>
        <v>0</v>
      </c>
      <c r="BA62" s="712"/>
      <c r="BB62" s="605">
        <f t="shared" si="71"/>
        <v>0</v>
      </c>
      <c r="BC62" s="712"/>
      <c r="BD62" s="605">
        <f t="shared" si="72"/>
        <v>0</v>
      </c>
      <c r="BE62" s="712"/>
      <c r="BF62" s="712">
        <f t="shared" si="65"/>
        <v>0</v>
      </c>
      <c r="BG62" s="712"/>
      <c r="BH62" s="712">
        <f t="shared" si="66"/>
        <v>0</v>
      </c>
      <c r="BJ62" s="590">
        <f t="shared" si="62"/>
        <v>420</v>
      </c>
    </row>
    <row r="63" spans="1:62">
      <c r="A63" s="590">
        <f t="shared" si="63"/>
        <v>421</v>
      </c>
      <c r="B63" s="729" t="s">
        <v>1812</v>
      </c>
      <c r="F63" s="715" t="s">
        <v>1766</v>
      </c>
      <c r="H63" s="723"/>
      <c r="J63" s="723"/>
      <c r="K63" s="712"/>
      <c r="L63" s="723"/>
      <c r="M63" s="712"/>
      <c r="N63" s="723"/>
      <c r="O63" s="712"/>
      <c r="R63" s="713" t="s">
        <v>1762</v>
      </c>
      <c r="T63" s="712">
        <v>0</v>
      </c>
      <c r="U63" s="712"/>
      <c r="V63" s="712">
        <f t="shared" si="67"/>
        <v>0</v>
      </c>
      <c r="W63" s="712"/>
      <c r="X63" s="712">
        <v>0</v>
      </c>
      <c r="Y63" s="712"/>
      <c r="Z63" s="712">
        <f t="shared" si="68"/>
        <v>0</v>
      </c>
      <c r="AA63" s="712"/>
      <c r="AB63" s="607" t="s">
        <v>1560</v>
      </c>
      <c r="AC63" s="712"/>
      <c r="AD63" s="712">
        <v>0</v>
      </c>
      <c r="AE63" s="712"/>
      <c r="AF63" s="723"/>
      <c r="AG63" s="712"/>
      <c r="AH63" s="712">
        <v>0</v>
      </c>
      <c r="AI63" s="712"/>
      <c r="AJ63" s="607" t="s">
        <v>1772</v>
      </c>
      <c r="AK63" s="712"/>
      <c r="AL63" s="605">
        <f t="shared" si="69"/>
        <v>0</v>
      </c>
      <c r="AM63" s="712"/>
      <c r="AN63" s="605">
        <f t="shared" si="69"/>
        <v>0</v>
      </c>
      <c r="AO63" s="712"/>
      <c r="AP63" s="605">
        <f t="shared" si="69"/>
        <v>0</v>
      </c>
      <c r="AQ63" s="712"/>
      <c r="AR63" s="712">
        <f t="shared" si="64"/>
        <v>0</v>
      </c>
      <c r="AT63" s="712">
        <v>0</v>
      </c>
      <c r="AU63" s="712"/>
      <c r="AV63" s="723"/>
      <c r="AW63" s="712"/>
      <c r="AX63" s="712">
        <v>0</v>
      </c>
      <c r="AY63" s="712"/>
      <c r="AZ63" s="605">
        <f t="shared" si="70"/>
        <v>0</v>
      </c>
      <c r="BA63" s="712"/>
      <c r="BB63" s="605">
        <f t="shared" si="71"/>
        <v>0</v>
      </c>
      <c r="BC63" s="712"/>
      <c r="BD63" s="605">
        <f t="shared" si="72"/>
        <v>0</v>
      </c>
      <c r="BE63" s="712"/>
      <c r="BF63" s="712">
        <f t="shared" si="65"/>
        <v>0</v>
      </c>
      <c r="BG63" s="712"/>
      <c r="BH63" s="712">
        <f t="shared" si="66"/>
        <v>0</v>
      </c>
      <c r="BJ63" s="590">
        <f t="shared" si="62"/>
        <v>421</v>
      </c>
    </row>
    <row r="64" spans="1:62">
      <c r="A64" s="590">
        <f t="shared" si="63"/>
        <v>422</v>
      </c>
      <c r="B64" s="729" t="s">
        <v>1813</v>
      </c>
      <c r="F64" s="715" t="s">
        <v>1766</v>
      </c>
      <c r="H64" s="723"/>
      <c r="J64" s="723"/>
      <c r="K64" s="712"/>
      <c r="L64" s="723"/>
      <c r="M64" s="712"/>
      <c r="N64" s="723"/>
      <c r="O64" s="712"/>
      <c r="R64" s="713" t="s">
        <v>1762</v>
      </c>
      <c r="T64" s="712">
        <v>0</v>
      </c>
      <c r="U64" s="712"/>
      <c r="V64" s="712">
        <f t="shared" si="67"/>
        <v>0</v>
      </c>
      <c r="W64" s="712"/>
      <c r="X64" s="712">
        <v>0</v>
      </c>
      <c r="Y64" s="712"/>
      <c r="Z64" s="712">
        <f t="shared" si="68"/>
        <v>0</v>
      </c>
      <c r="AA64" s="712"/>
      <c r="AB64" s="607" t="s">
        <v>1560</v>
      </c>
      <c r="AC64" s="712"/>
      <c r="AD64" s="712">
        <v>0</v>
      </c>
      <c r="AE64" s="712"/>
      <c r="AF64" s="723"/>
      <c r="AG64" s="712"/>
      <c r="AH64" s="712">
        <v>0</v>
      </c>
      <c r="AI64" s="712"/>
      <c r="AJ64" s="607" t="s">
        <v>1772</v>
      </c>
      <c r="AK64" s="712"/>
      <c r="AL64" s="605">
        <f t="shared" si="69"/>
        <v>0</v>
      </c>
      <c r="AM64" s="712"/>
      <c r="AN64" s="605">
        <f t="shared" si="69"/>
        <v>0</v>
      </c>
      <c r="AO64" s="712"/>
      <c r="AP64" s="605">
        <f t="shared" si="69"/>
        <v>0</v>
      </c>
      <c r="AQ64" s="712"/>
      <c r="AR64" s="712">
        <f t="shared" si="64"/>
        <v>0</v>
      </c>
      <c r="AT64" s="712">
        <v>0</v>
      </c>
      <c r="AU64" s="712"/>
      <c r="AV64" s="723"/>
      <c r="AW64" s="712"/>
      <c r="AX64" s="712">
        <v>0</v>
      </c>
      <c r="AY64" s="712"/>
      <c r="AZ64" s="605">
        <f t="shared" si="70"/>
        <v>0</v>
      </c>
      <c r="BA64" s="712"/>
      <c r="BB64" s="605">
        <f t="shared" si="71"/>
        <v>0</v>
      </c>
      <c r="BC64" s="712"/>
      <c r="BD64" s="605">
        <f t="shared" si="72"/>
        <v>0</v>
      </c>
      <c r="BE64" s="712"/>
      <c r="BF64" s="712">
        <f t="shared" si="65"/>
        <v>0</v>
      </c>
      <c r="BG64" s="712"/>
      <c r="BH64" s="712">
        <f t="shared" si="66"/>
        <v>0</v>
      </c>
      <c r="BJ64" s="590">
        <f t="shared" si="62"/>
        <v>422</v>
      </c>
    </row>
    <row r="65" spans="1:62">
      <c r="A65" s="590">
        <f t="shared" si="63"/>
        <v>423</v>
      </c>
      <c r="B65" s="729" t="s">
        <v>1814</v>
      </c>
      <c r="F65" s="715" t="s">
        <v>1766</v>
      </c>
      <c r="H65" s="723"/>
      <c r="J65" s="723"/>
      <c r="K65" s="712"/>
      <c r="L65" s="723"/>
      <c r="M65" s="712"/>
      <c r="N65" s="723"/>
      <c r="O65" s="712"/>
      <c r="R65" s="713" t="s">
        <v>1762</v>
      </c>
      <c r="T65" s="712">
        <v>0</v>
      </c>
      <c r="U65" s="712"/>
      <c r="V65" s="712">
        <f t="shared" si="67"/>
        <v>0</v>
      </c>
      <c r="W65" s="712"/>
      <c r="X65" s="712">
        <v>0</v>
      </c>
      <c r="Y65" s="712"/>
      <c r="Z65" s="712">
        <f t="shared" si="68"/>
        <v>0</v>
      </c>
      <c r="AA65" s="712"/>
      <c r="AB65" s="607" t="s">
        <v>1560</v>
      </c>
      <c r="AC65" s="712"/>
      <c r="AD65" s="712">
        <v>0</v>
      </c>
      <c r="AE65" s="712"/>
      <c r="AF65" s="723"/>
      <c r="AG65" s="712"/>
      <c r="AH65" s="712">
        <v>0</v>
      </c>
      <c r="AI65" s="712"/>
      <c r="AJ65" s="607" t="s">
        <v>1772</v>
      </c>
      <c r="AK65" s="712"/>
      <c r="AL65" s="605">
        <f t="shared" si="69"/>
        <v>0</v>
      </c>
      <c r="AM65" s="712"/>
      <c r="AN65" s="605">
        <f t="shared" si="69"/>
        <v>0</v>
      </c>
      <c r="AO65" s="712"/>
      <c r="AP65" s="605">
        <f t="shared" si="69"/>
        <v>0</v>
      </c>
      <c r="AQ65" s="712"/>
      <c r="AR65" s="712">
        <f t="shared" si="64"/>
        <v>0</v>
      </c>
      <c r="AT65" s="712">
        <v>0</v>
      </c>
      <c r="AU65" s="712"/>
      <c r="AV65" s="723"/>
      <c r="AW65" s="712"/>
      <c r="AX65" s="712">
        <v>0</v>
      </c>
      <c r="AY65" s="712"/>
      <c r="AZ65" s="605">
        <f t="shared" si="70"/>
        <v>0</v>
      </c>
      <c r="BA65" s="712"/>
      <c r="BB65" s="605">
        <f t="shared" si="71"/>
        <v>0</v>
      </c>
      <c r="BC65" s="712"/>
      <c r="BD65" s="605">
        <f t="shared" si="72"/>
        <v>0</v>
      </c>
      <c r="BE65" s="712"/>
      <c r="BF65" s="712">
        <f t="shared" si="65"/>
        <v>0</v>
      </c>
      <c r="BG65" s="712"/>
      <c r="BH65" s="712">
        <f t="shared" si="66"/>
        <v>0</v>
      </c>
      <c r="BJ65" s="590">
        <f t="shared" si="62"/>
        <v>423</v>
      </c>
    </row>
    <row r="66" spans="1:62">
      <c r="A66" s="590">
        <f t="shared" si="63"/>
        <v>424</v>
      </c>
      <c r="B66" s="729" t="s">
        <v>1815</v>
      </c>
      <c r="F66" s="715" t="s">
        <v>1766</v>
      </c>
      <c r="H66" s="723"/>
      <c r="J66" s="723"/>
      <c r="K66" s="712"/>
      <c r="L66" s="723"/>
      <c r="M66" s="712"/>
      <c r="N66" s="723"/>
      <c r="O66" s="712"/>
      <c r="R66" s="713" t="s">
        <v>1762</v>
      </c>
      <c r="T66" s="712">
        <v>0</v>
      </c>
      <c r="U66" s="712"/>
      <c r="V66" s="712">
        <f t="shared" si="67"/>
        <v>0</v>
      </c>
      <c r="W66" s="712"/>
      <c r="X66" s="712">
        <v>0</v>
      </c>
      <c r="Y66" s="712"/>
      <c r="Z66" s="712">
        <f t="shared" si="68"/>
        <v>0</v>
      </c>
      <c r="AA66" s="712"/>
      <c r="AB66" s="607" t="s">
        <v>1560</v>
      </c>
      <c r="AC66" s="712"/>
      <c r="AD66" s="712">
        <v>0</v>
      </c>
      <c r="AE66" s="712"/>
      <c r="AF66" s="723"/>
      <c r="AG66" s="712"/>
      <c r="AH66" s="712">
        <v>0</v>
      </c>
      <c r="AI66" s="712"/>
      <c r="AJ66" s="607" t="s">
        <v>1772</v>
      </c>
      <c r="AK66" s="712"/>
      <c r="AL66" s="605">
        <f t="shared" si="69"/>
        <v>0</v>
      </c>
      <c r="AM66" s="712"/>
      <c r="AN66" s="605">
        <f t="shared" si="69"/>
        <v>0</v>
      </c>
      <c r="AO66" s="712"/>
      <c r="AP66" s="605">
        <f t="shared" si="69"/>
        <v>0</v>
      </c>
      <c r="AQ66" s="712"/>
      <c r="AR66" s="712">
        <f t="shared" si="64"/>
        <v>0</v>
      </c>
      <c r="AT66" s="712">
        <v>0</v>
      </c>
      <c r="AU66" s="712"/>
      <c r="AV66" s="723"/>
      <c r="AW66" s="712"/>
      <c r="AX66" s="712">
        <v>0</v>
      </c>
      <c r="AY66" s="712"/>
      <c r="AZ66" s="605">
        <f t="shared" si="70"/>
        <v>0</v>
      </c>
      <c r="BA66" s="712"/>
      <c r="BB66" s="605">
        <f t="shared" si="71"/>
        <v>0</v>
      </c>
      <c r="BC66" s="712"/>
      <c r="BD66" s="605">
        <f t="shared" si="72"/>
        <v>0</v>
      </c>
      <c r="BE66" s="712"/>
      <c r="BF66" s="712">
        <f t="shared" si="65"/>
        <v>0</v>
      </c>
      <c r="BG66" s="712"/>
      <c r="BH66" s="712">
        <f t="shared" si="66"/>
        <v>0</v>
      </c>
      <c r="BJ66" s="590">
        <f t="shared" si="62"/>
        <v>424</v>
      </c>
    </row>
    <row r="67" spans="1:62">
      <c r="A67" s="590">
        <f t="shared" si="63"/>
        <v>425</v>
      </c>
      <c r="B67" s="729" t="s">
        <v>1816</v>
      </c>
      <c r="F67" s="715" t="s">
        <v>1766</v>
      </c>
      <c r="H67" s="723"/>
      <c r="J67" s="723"/>
      <c r="K67" s="712"/>
      <c r="L67" s="723"/>
      <c r="M67" s="712"/>
      <c r="N67" s="723"/>
      <c r="O67" s="712"/>
      <c r="R67" s="713" t="s">
        <v>1762</v>
      </c>
      <c r="T67" s="712">
        <v>0</v>
      </c>
      <c r="U67" s="712"/>
      <c r="V67" s="712">
        <f t="shared" si="67"/>
        <v>0</v>
      </c>
      <c r="W67" s="712"/>
      <c r="X67" s="712">
        <v>0</v>
      </c>
      <c r="Y67" s="712"/>
      <c r="Z67" s="712">
        <f t="shared" si="68"/>
        <v>0</v>
      </c>
      <c r="AA67" s="712"/>
      <c r="AB67" s="607" t="s">
        <v>1560</v>
      </c>
      <c r="AC67" s="712"/>
      <c r="AD67" s="712">
        <v>0</v>
      </c>
      <c r="AE67" s="712"/>
      <c r="AF67" s="723"/>
      <c r="AG67" s="712"/>
      <c r="AH67" s="712">
        <v>0</v>
      </c>
      <c r="AI67" s="712"/>
      <c r="AJ67" s="607" t="s">
        <v>1772</v>
      </c>
      <c r="AK67" s="712"/>
      <c r="AL67" s="605">
        <f t="shared" si="69"/>
        <v>0</v>
      </c>
      <c r="AM67" s="712"/>
      <c r="AN67" s="605">
        <f t="shared" si="69"/>
        <v>0</v>
      </c>
      <c r="AO67" s="712"/>
      <c r="AP67" s="605">
        <f t="shared" si="69"/>
        <v>0</v>
      </c>
      <c r="AQ67" s="712"/>
      <c r="AR67" s="712">
        <f t="shared" si="64"/>
        <v>0</v>
      </c>
      <c r="AT67" s="712">
        <v>0</v>
      </c>
      <c r="AU67" s="712"/>
      <c r="AV67" s="723"/>
      <c r="AW67" s="712"/>
      <c r="AX67" s="712">
        <v>0</v>
      </c>
      <c r="AY67" s="712"/>
      <c r="AZ67" s="605">
        <f t="shared" si="70"/>
        <v>0</v>
      </c>
      <c r="BA67" s="712"/>
      <c r="BB67" s="605">
        <f t="shared" si="71"/>
        <v>0</v>
      </c>
      <c r="BC67" s="712"/>
      <c r="BD67" s="605">
        <f t="shared" si="72"/>
        <v>0</v>
      </c>
      <c r="BE67" s="712"/>
      <c r="BF67" s="712">
        <f t="shared" si="65"/>
        <v>0</v>
      </c>
      <c r="BG67" s="712"/>
      <c r="BH67" s="712">
        <f t="shared" si="66"/>
        <v>0</v>
      </c>
      <c r="BJ67" s="590">
        <f t="shared" si="62"/>
        <v>425</v>
      </c>
    </row>
    <row r="68" spans="1:62">
      <c r="A68" s="590">
        <f t="shared" si="63"/>
        <v>426</v>
      </c>
      <c r="B68" s="729" t="s">
        <v>1817</v>
      </c>
      <c r="F68" s="715" t="s">
        <v>1766</v>
      </c>
      <c r="H68" s="723"/>
      <c r="J68" s="723"/>
      <c r="K68" s="712"/>
      <c r="L68" s="723"/>
      <c r="M68" s="712"/>
      <c r="N68" s="723"/>
      <c r="O68" s="712"/>
      <c r="R68" s="713" t="s">
        <v>1762</v>
      </c>
      <c r="T68" s="712">
        <v>0</v>
      </c>
      <c r="U68" s="712"/>
      <c r="V68" s="712">
        <f t="shared" si="67"/>
        <v>0</v>
      </c>
      <c r="W68" s="712"/>
      <c r="X68" s="712">
        <v>0</v>
      </c>
      <c r="Y68" s="712"/>
      <c r="Z68" s="712">
        <f t="shared" si="68"/>
        <v>0</v>
      </c>
      <c r="AA68" s="712"/>
      <c r="AB68" s="607" t="s">
        <v>1560</v>
      </c>
      <c r="AC68" s="712"/>
      <c r="AD68" s="712">
        <v>0</v>
      </c>
      <c r="AE68" s="712"/>
      <c r="AF68" s="723"/>
      <c r="AG68" s="712"/>
      <c r="AH68" s="712">
        <v>0</v>
      </c>
      <c r="AI68" s="712"/>
      <c r="AJ68" s="607" t="s">
        <v>1772</v>
      </c>
      <c r="AK68" s="712"/>
      <c r="AL68" s="605">
        <f t="shared" si="69"/>
        <v>0</v>
      </c>
      <c r="AM68" s="712"/>
      <c r="AN68" s="605">
        <f t="shared" si="69"/>
        <v>0</v>
      </c>
      <c r="AO68" s="712"/>
      <c r="AP68" s="605">
        <f t="shared" si="69"/>
        <v>0</v>
      </c>
      <c r="AQ68" s="712"/>
      <c r="AR68" s="712">
        <f t="shared" si="64"/>
        <v>0</v>
      </c>
      <c r="AT68" s="712">
        <v>0</v>
      </c>
      <c r="AU68" s="712"/>
      <c r="AV68" s="723"/>
      <c r="AW68" s="712"/>
      <c r="AX68" s="712">
        <v>0</v>
      </c>
      <c r="AY68" s="712"/>
      <c r="AZ68" s="605">
        <f t="shared" si="70"/>
        <v>0</v>
      </c>
      <c r="BA68" s="712"/>
      <c r="BB68" s="605">
        <f t="shared" si="71"/>
        <v>0</v>
      </c>
      <c r="BC68" s="712"/>
      <c r="BD68" s="605">
        <f t="shared" si="72"/>
        <v>0</v>
      </c>
      <c r="BE68" s="712"/>
      <c r="BF68" s="712">
        <f t="shared" si="65"/>
        <v>0</v>
      </c>
      <c r="BG68" s="712"/>
      <c r="BH68" s="712">
        <f t="shared" si="66"/>
        <v>0</v>
      </c>
      <c r="BJ68" s="590">
        <f t="shared" si="62"/>
        <v>426</v>
      </c>
    </row>
    <row r="69" spans="1:62">
      <c r="A69" s="590">
        <f t="shared" si="63"/>
        <v>427</v>
      </c>
      <c r="B69" s="729" t="s">
        <v>1818</v>
      </c>
      <c r="F69" s="715" t="s">
        <v>1766</v>
      </c>
      <c r="H69" s="723"/>
      <c r="J69" s="723"/>
      <c r="K69" s="712"/>
      <c r="L69" s="723"/>
      <c r="M69" s="712"/>
      <c r="N69" s="723"/>
      <c r="O69" s="712"/>
      <c r="R69" s="713" t="s">
        <v>1762</v>
      </c>
      <c r="T69" s="712">
        <v>0</v>
      </c>
      <c r="U69" s="712"/>
      <c r="V69" s="712">
        <f t="shared" si="67"/>
        <v>0</v>
      </c>
      <c r="W69" s="712"/>
      <c r="X69" s="712">
        <v>0</v>
      </c>
      <c r="Y69" s="712"/>
      <c r="Z69" s="712">
        <f t="shared" si="68"/>
        <v>0</v>
      </c>
      <c r="AA69" s="712"/>
      <c r="AB69" s="607" t="s">
        <v>1560</v>
      </c>
      <c r="AC69" s="712"/>
      <c r="AD69" s="712">
        <v>0</v>
      </c>
      <c r="AE69" s="712"/>
      <c r="AF69" s="723"/>
      <c r="AG69" s="712"/>
      <c r="AH69" s="712">
        <v>0</v>
      </c>
      <c r="AI69" s="712"/>
      <c r="AJ69" s="607" t="s">
        <v>1772</v>
      </c>
      <c r="AK69" s="712"/>
      <c r="AL69" s="605">
        <f t="shared" si="69"/>
        <v>0</v>
      </c>
      <c r="AM69" s="712"/>
      <c r="AN69" s="605">
        <f t="shared" si="69"/>
        <v>0</v>
      </c>
      <c r="AO69" s="712"/>
      <c r="AP69" s="605">
        <f t="shared" si="69"/>
        <v>0</v>
      </c>
      <c r="AQ69" s="712"/>
      <c r="AR69" s="712">
        <f t="shared" si="64"/>
        <v>0</v>
      </c>
      <c r="AT69" s="712">
        <v>0</v>
      </c>
      <c r="AU69" s="712"/>
      <c r="AV69" s="723"/>
      <c r="AW69" s="712"/>
      <c r="AX69" s="712">
        <v>0</v>
      </c>
      <c r="AY69" s="712"/>
      <c r="AZ69" s="605">
        <f t="shared" si="70"/>
        <v>0</v>
      </c>
      <c r="BA69" s="712"/>
      <c r="BB69" s="605">
        <f t="shared" si="71"/>
        <v>0</v>
      </c>
      <c r="BC69" s="712"/>
      <c r="BD69" s="605">
        <f t="shared" si="72"/>
        <v>0</v>
      </c>
      <c r="BE69" s="712"/>
      <c r="BF69" s="712">
        <f t="shared" si="65"/>
        <v>0</v>
      </c>
      <c r="BG69" s="712"/>
      <c r="BH69" s="712">
        <f t="shared" si="66"/>
        <v>0</v>
      </c>
      <c r="BJ69" s="590">
        <f t="shared" si="62"/>
        <v>427</v>
      </c>
    </row>
    <row r="70" spans="1:62">
      <c r="A70" s="590">
        <f t="shared" si="63"/>
        <v>428</v>
      </c>
      <c r="B70" s="729" t="s">
        <v>1819</v>
      </c>
      <c r="F70" s="715" t="s">
        <v>1766</v>
      </c>
      <c r="H70" s="723"/>
      <c r="J70" s="723"/>
      <c r="K70" s="712"/>
      <c r="L70" s="723"/>
      <c r="M70" s="712"/>
      <c r="N70" s="723"/>
      <c r="O70" s="712"/>
      <c r="R70" s="713" t="s">
        <v>1762</v>
      </c>
      <c r="T70" s="712">
        <v>0</v>
      </c>
      <c r="U70" s="712"/>
      <c r="V70" s="712">
        <f t="shared" si="67"/>
        <v>0</v>
      </c>
      <c r="W70" s="712"/>
      <c r="X70" s="712">
        <v>0</v>
      </c>
      <c r="Y70" s="712"/>
      <c r="Z70" s="712">
        <f t="shared" si="68"/>
        <v>0</v>
      </c>
      <c r="AA70" s="712"/>
      <c r="AB70" s="607" t="s">
        <v>1560</v>
      </c>
      <c r="AC70" s="712"/>
      <c r="AD70" s="712">
        <v>0</v>
      </c>
      <c r="AE70" s="712"/>
      <c r="AF70" s="723"/>
      <c r="AG70" s="712"/>
      <c r="AH70" s="712">
        <v>0</v>
      </c>
      <c r="AI70" s="712"/>
      <c r="AJ70" s="607" t="s">
        <v>1772</v>
      </c>
      <c r="AK70" s="712"/>
      <c r="AL70" s="605">
        <f t="shared" si="69"/>
        <v>0</v>
      </c>
      <c r="AM70" s="712"/>
      <c r="AN70" s="605">
        <f t="shared" si="69"/>
        <v>0</v>
      </c>
      <c r="AO70" s="712"/>
      <c r="AP70" s="605">
        <f t="shared" si="69"/>
        <v>0</v>
      </c>
      <c r="AQ70" s="712"/>
      <c r="AR70" s="712">
        <f t="shared" si="64"/>
        <v>0</v>
      </c>
      <c r="AT70" s="712">
        <v>0</v>
      </c>
      <c r="AU70" s="712"/>
      <c r="AV70" s="723"/>
      <c r="AW70" s="712"/>
      <c r="AX70" s="712">
        <v>0</v>
      </c>
      <c r="AY70" s="712"/>
      <c r="AZ70" s="605">
        <f t="shared" si="70"/>
        <v>0</v>
      </c>
      <c r="BA70" s="712"/>
      <c r="BB70" s="605">
        <f t="shared" si="71"/>
        <v>0</v>
      </c>
      <c r="BC70" s="712"/>
      <c r="BD70" s="605">
        <f t="shared" si="72"/>
        <v>0</v>
      </c>
      <c r="BE70" s="712"/>
      <c r="BF70" s="712">
        <f t="shared" si="65"/>
        <v>0</v>
      </c>
      <c r="BG70" s="712"/>
      <c r="BH70" s="712">
        <f t="shared" si="66"/>
        <v>0</v>
      </c>
      <c r="BJ70" s="590">
        <f t="shared" si="62"/>
        <v>428</v>
      </c>
    </row>
    <row r="71" spans="1:62">
      <c r="A71" s="590">
        <f t="shared" si="63"/>
        <v>429</v>
      </c>
      <c r="B71" s="729" t="s">
        <v>1820</v>
      </c>
      <c r="F71" s="715" t="s">
        <v>1766</v>
      </c>
      <c r="H71" s="723"/>
      <c r="J71" s="723"/>
      <c r="K71" s="712"/>
      <c r="L71" s="723"/>
      <c r="M71" s="712"/>
      <c r="N71" s="723"/>
      <c r="O71" s="712"/>
      <c r="R71" s="713" t="s">
        <v>1762</v>
      </c>
      <c r="T71" s="712">
        <v>0</v>
      </c>
      <c r="U71" s="712"/>
      <c r="V71" s="712">
        <f t="shared" si="67"/>
        <v>0</v>
      </c>
      <c r="W71" s="712"/>
      <c r="X71" s="712">
        <v>0</v>
      </c>
      <c r="Y71" s="712"/>
      <c r="Z71" s="712">
        <f t="shared" si="68"/>
        <v>0</v>
      </c>
      <c r="AA71" s="712"/>
      <c r="AB71" s="607" t="s">
        <v>1560</v>
      </c>
      <c r="AC71" s="712"/>
      <c r="AD71" s="712">
        <v>0</v>
      </c>
      <c r="AE71" s="712"/>
      <c r="AF71" s="723"/>
      <c r="AG71" s="712"/>
      <c r="AH71" s="712">
        <v>0</v>
      </c>
      <c r="AI71" s="712"/>
      <c r="AJ71" s="607" t="s">
        <v>1772</v>
      </c>
      <c r="AK71" s="712"/>
      <c r="AL71" s="605">
        <f t="shared" si="69"/>
        <v>0</v>
      </c>
      <c r="AM71" s="712"/>
      <c r="AN71" s="605">
        <f t="shared" si="69"/>
        <v>0</v>
      </c>
      <c r="AO71" s="712"/>
      <c r="AP71" s="605">
        <f t="shared" si="69"/>
        <v>0</v>
      </c>
      <c r="AQ71" s="712"/>
      <c r="AR71" s="712">
        <f t="shared" si="64"/>
        <v>0</v>
      </c>
      <c r="AT71" s="712">
        <v>0</v>
      </c>
      <c r="AU71" s="712"/>
      <c r="AV71" s="723"/>
      <c r="AW71" s="712"/>
      <c r="AX71" s="712">
        <v>0</v>
      </c>
      <c r="AY71" s="712"/>
      <c r="AZ71" s="605">
        <f t="shared" si="70"/>
        <v>0</v>
      </c>
      <c r="BA71" s="712"/>
      <c r="BB71" s="605">
        <f t="shared" si="71"/>
        <v>0</v>
      </c>
      <c r="BC71" s="712"/>
      <c r="BD71" s="605">
        <f t="shared" si="72"/>
        <v>0</v>
      </c>
      <c r="BE71" s="712"/>
      <c r="BF71" s="712">
        <f t="shared" si="65"/>
        <v>0</v>
      </c>
      <c r="BG71" s="712"/>
      <c r="BH71" s="712">
        <f t="shared" si="66"/>
        <v>0</v>
      </c>
      <c r="BJ71" s="590">
        <f t="shared" si="62"/>
        <v>429</v>
      </c>
    </row>
    <row r="72" spans="1:62">
      <c r="A72" s="590">
        <f t="shared" si="63"/>
        <v>430</v>
      </c>
      <c r="B72" s="729" t="s">
        <v>1821</v>
      </c>
      <c r="F72" s="715" t="s">
        <v>1766</v>
      </c>
      <c r="H72" s="723"/>
      <c r="J72" s="723"/>
      <c r="K72" s="712"/>
      <c r="L72" s="723"/>
      <c r="M72" s="712"/>
      <c r="N72" s="723"/>
      <c r="O72" s="712"/>
      <c r="R72" s="713" t="s">
        <v>1762</v>
      </c>
      <c r="T72" s="712">
        <v>0</v>
      </c>
      <c r="U72" s="712"/>
      <c r="V72" s="712">
        <f t="shared" si="67"/>
        <v>0</v>
      </c>
      <c r="W72" s="712"/>
      <c r="X72" s="712">
        <v>0</v>
      </c>
      <c r="Y72" s="712"/>
      <c r="Z72" s="712">
        <f t="shared" si="68"/>
        <v>0</v>
      </c>
      <c r="AA72" s="712"/>
      <c r="AB72" s="607" t="s">
        <v>1560</v>
      </c>
      <c r="AC72" s="712"/>
      <c r="AD72" s="712">
        <v>0</v>
      </c>
      <c r="AE72" s="712"/>
      <c r="AF72" s="723"/>
      <c r="AG72" s="712"/>
      <c r="AH72" s="712">
        <v>0</v>
      </c>
      <c r="AI72" s="712"/>
      <c r="AJ72" s="607" t="s">
        <v>1772</v>
      </c>
      <c r="AK72" s="712"/>
      <c r="AL72" s="605">
        <f t="shared" si="69"/>
        <v>0</v>
      </c>
      <c r="AM72" s="712"/>
      <c r="AN72" s="605">
        <f t="shared" si="69"/>
        <v>0</v>
      </c>
      <c r="AO72" s="712"/>
      <c r="AP72" s="605">
        <f t="shared" si="69"/>
        <v>0</v>
      </c>
      <c r="AQ72" s="712"/>
      <c r="AR72" s="712">
        <f t="shared" si="64"/>
        <v>0</v>
      </c>
      <c r="AT72" s="712">
        <v>0</v>
      </c>
      <c r="AU72" s="712"/>
      <c r="AV72" s="723"/>
      <c r="AW72" s="712"/>
      <c r="AX72" s="712">
        <v>0</v>
      </c>
      <c r="AY72" s="712"/>
      <c r="AZ72" s="605">
        <f t="shared" si="70"/>
        <v>0</v>
      </c>
      <c r="BA72" s="712"/>
      <c r="BB72" s="605">
        <f t="shared" si="71"/>
        <v>0</v>
      </c>
      <c r="BC72" s="712"/>
      <c r="BD72" s="605">
        <f t="shared" si="72"/>
        <v>0</v>
      </c>
      <c r="BE72" s="712"/>
      <c r="BF72" s="712">
        <f t="shared" si="65"/>
        <v>0</v>
      </c>
      <c r="BG72" s="712"/>
      <c r="BH72" s="712">
        <f t="shared" si="66"/>
        <v>0</v>
      </c>
      <c r="BJ72" s="590">
        <f t="shared" si="62"/>
        <v>430</v>
      </c>
    </row>
    <row r="73" spans="1:62">
      <c r="A73" s="590">
        <f t="shared" si="63"/>
        <v>431</v>
      </c>
      <c r="B73" s="729" t="s">
        <v>1822</v>
      </c>
      <c r="F73" s="715" t="s">
        <v>1766</v>
      </c>
      <c r="H73" s="723"/>
      <c r="J73" s="723"/>
      <c r="K73" s="712"/>
      <c r="L73" s="723"/>
      <c r="M73" s="712"/>
      <c r="N73" s="723"/>
      <c r="O73" s="712"/>
      <c r="R73" s="713" t="s">
        <v>1762</v>
      </c>
      <c r="T73" s="712">
        <v>0</v>
      </c>
      <c r="U73" s="712"/>
      <c r="V73" s="712">
        <f t="shared" si="67"/>
        <v>0</v>
      </c>
      <c r="W73" s="712"/>
      <c r="X73" s="712">
        <v>0</v>
      </c>
      <c r="Y73" s="712"/>
      <c r="Z73" s="712">
        <f t="shared" si="68"/>
        <v>0</v>
      </c>
      <c r="AA73" s="712"/>
      <c r="AB73" s="607" t="s">
        <v>1560</v>
      </c>
      <c r="AC73" s="712"/>
      <c r="AD73" s="712">
        <v>0</v>
      </c>
      <c r="AE73" s="712"/>
      <c r="AF73" s="723"/>
      <c r="AG73" s="712"/>
      <c r="AH73" s="712">
        <v>0</v>
      </c>
      <c r="AI73" s="712"/>
      <c r="AJ73" s="607" t="s">
        <v>1772</v>
      </c>
      <c r="AK73" s="712"/>
      <c r="AL73" s="605">
        <f t="shared" si="69"/>
        <v>0</v>
      </c>
      <c r="AM73" s="712"/>
      <c r="AN73" s="605">
        <f t="shared" si="69"/>
        <v>0</v>
      </c>
      <c r="AO73" s="712"/>
      <c r="AP73" s="605">
        <f t="shared" si="69"/>
        <v>0</v>
      </c>
      <c r="AQ73" s="712"/>
      <c r="AR73" s="712">
        <f t="shared" si="64"/>
        <v>0</v>
      </c>
      <c r="AT73" s="712">
        <v>0</v>
      </c>
      <c r="AU73" s="712"/>
      <c r="AV73" s="723"/>
      <c r="AW73" s="712"/>
      <c r="AX73" s="712">
        <v>0</v>
      </c>
      <c r="AY73" s="712"/>
      <c r="AZ73" s="605">
        <f t="shared" si="70"/>
        <v>0</v>
      </c>
      <c r="BA73" s="712"/>
      <c r="BB73" s="605">
        <f t="shared" si="71"/>
        <v>0</v>
      </c>
      <c r="BC73" s="712"/>
      <c r="BD73" s="605">
        <f t="shared" si="72"/>
        <v>0</v>
      </c>
      <c r="BE73" s="712"/>
      <c r="BF73" s="712">
        <f t="shared" si="65"/>
        <v>0</v>
      </c>
      <c r="BG73" s="712"/>
      <c r="BH73" s="712">
        <f t="shared" si="66"/>
        <v>0</v>
      </c>
      <c r="BJ73" s="590">
        <f t="shared" si="62"/>
        <v>431</v>
      </c>
    </row>
    <row r="74" spans="1:62">
      <c r="A74" s="590">
        <f t="shared" si="63"/>
        <v>432</v>
      </c>
      <c r="B74" s="729" t="s">
        <v>1823</v>
      </c>
      <c r="F74" s="715" t="s">
        <v>1766</v>
      </c>
      <c r="H74" s="723"/>
      <c r="J74" s="723"/>
      <c r="K74" s="712"/>
      <c r="L74" s="723"/>
      <c r="M74" s="712"/>
      <c r="N74" s="723"/>
      <c r="O74" s="712"/>
      <c r="R74" s="713" t="s">
        <v>1762</v>
      </c>
      <c r="T74" s="712">
        <v>0</v>
      </c>
      <c r="U74" s="712"/>
      <c r="V74" s="712">
        <f t="shared" si="67"/>
        <v>0</v>
      </c>
      <c r="W74" s="712"/>
      <c r="X74" s="712">
        <v>0</v>
      </c>
      <c r="Y74" s="712"/>
      <c r="Z74" s="712">
        <f t="shared" si="68"/>
        <v>0</v>
      </c>
      <c r="AA74" s="712"/>
      <c r="AB74" s="607" t="s">
        <v>1560</v>
      </c>
      <c r="AC74" s="712"/>
      <c r="AD74" s="712">
        <v>0</v>
      </c>
      <c r="AE74" s="712"/>
      <c r="AF74" s="723"/>
      <c r="AG74" s="712"/>
      <c r="AH74" s="712">
        <v>0</v>
      </c>
      <c r="AI74" s="712"/>
      <c r="AJ74" s="607" t="s">
        <v>1772</v>
      </c>
      <c r="AK74" s="712"/>
      <c r="AL74" s="605">
        <f t="shared" si="69"/>
        <v>0</v>
      </c>
      <c r="AM74" s="712"/>
      <c r="AN74" s="605">
        <f t="shared" si="69"/>
        <v>0</v>
      </c>
      <c r="AO74" s="712"/>
      <c r="AP74" s="605">
        <f t="shared" si="69"/>
        <v>0</v>
      </c>
      <c r="AQ74" s="712"/>
      <c r="AR74" s="712">
        <f t="shared" si="64"/>
        <v>0</v>
      </c>
      <c r="AT74" s="712">
        <v>0</v>
      </c>
      <c r="AU74" s="712"/>
      <c r="AV74" s="723"/>
      <c r="AW74" s="712"/>
      <c r="AX74" s="712">
        <v>0</v>
      </c>
      <c r="AY74" s="712"/>
      <c r="AZ74" s="605">
        <f t="shared" si="70"/>
        <v>0</v>
      </c>
      <c r="BA74" s="712"/>
      <c r="BB74" s="605">
        <f t="shared" si="71"/>
        <v>0</v>
      </c>
      <c r="BC74" s="712"/>
      <c r="BD74" s="605">
        <f t="shared" si="72"/>
        <v>0</v>
      </c>
      <c r="BE74" s="712"/>
      <c r="BF74" s="712">
        <f t="shared" si="65"/>
        <v>0</v>
      </c>
      <c r="BG74" s="712"/>
      <c r="BH74" s="712">
        <f t="shared" si="66"/>
        <v>0</v>
      </c>
      <c r="BJ74" s="590">
        <f t="shared" si="62"/>
        <v>432</v>
      </c>
    </row>
    <row r="75" spans="1:62">
      <c r="A75" s="590">
        <f t="shared" si="63"/>
        <v>433</v>
      </c>
      <c r="B75" s="729" t="s">
        <v>1824</v>
      </c>
      <c r="F75" s="715" t="s">
        <v>1766</v>
      </c>
      <c r="H75" s="723"/>
      <c r="J75" s="723"/>
      <c r="K75" s="712"/>
      <c r="L75" s="723"/>
      <c r="M75" s="712"/>
      <c r="N75" s="723"/>
      <c r="O75" s="712"/>
      <c r="R75" s="713" t="s">
        <v>1762</v>
      </c>
      <c r="T75" s="712">
        <v>0</v>
      </c>
      <c r="U75" s="712"/>
      <c r="V75" s="712">
        <f t="shared" si="67"/>
        <v>0</v>
      </c>
      <c r="W75" s="712"/>
      <c r="X75" s="712">
        <v>0</v>
      </c>
      <c r="Y75" s="712"/>
      <c r="Z75" s="712">
        <f t="shared" si="68"/>
        <v>0</v>
      </c>
      <c r="AA75" s="712"/>
      <c r="AB75" s="607" t="s">
        <v>1560</v>
      </c>
      <c r="AC75" s="712"/>
      <c r="AD75" s="712">
        <v>0</v>
      </c>
      <c r="AE75" s="712"/>
      <c r="AF75" s="723"/>
      <c r="AG75" s="712"/>
      <c r="AH75" s="712">
        <v>0</v>
      </c>
      <c r="AI75" s="712"/>
      <c r="AJ75" s="607" t="s">
        <v>1772</v>
      </c>
      <c r="AK75" s="712"/>
      <c r="AL75" s="605">
        <f t="shared" si="69"/>
        <v>0</v>
      </c>
      <c r="AM75" s="712"/>
      <c r="AN75" s="605">
        <f t="shared" si="69"/>
        <v>0</v>
      </c>
      <c r="AO75" s="712"/>
      <c r="AP75" s="605">
        <f t="shared" si="69"/>
        <v>0</v>
      </c>
      <c r="AQ75" s="712"/>
      <c r="AR75" s="712">
        <f t="shared" si="64"/>
        <v>0</v>
      </c>
      <c r="AT75" s="712">
        <v>0</v>
      </c>
      <c r="AU75" s="712"/>
      <c r="AV75" s="723"/>
      <c r="AW75" s="712"/>
      <c r="AX75" s="712">
        <v>0</v>
      </c>
      <c r="AY75" s="712"/>
      <c r="AZ75" s="605">
        <f t="shared" si="70"/>
        <v>0</v>
      </c>
      <c r="BA75" s="712"/>
      <c r="BB75" s="605">
        <f t="shared" si="71"/>
        <v>0</v>
      </c>
      <c r="BC75" s="712"/>
      <c r="BD75" s="605">
        <f t="shared" si="72"/>
        <v>0</v>
      </c>
      <c r="BE75" s="712"/>
      <c r="BF75" s="712">
        <f t="shared" si="65"/>
        <v>0</v>
      </c>
      <c r="BG75" s="712"/>
      <c r="BH75" s="712">
        <f t="shared" si="66"/>
        <v>0</v>
      </c>
      <c r="BJ75" s="590">
        <f t="shared" si="62"/>
        <v>433</v>
      </c>
    </row>
    <row r="76" spans="1:62">
      <c r="A76" s="590">
        <f t="shared" si="63"/>
        <v>434</v>
      </c>
      <c r="B76" s="729" t="s">
        <v>1825</v>
      </c>
      <c r="F76" s="715" t="s">
        <v>1766</v>
      </c>
      <c r="H76" s="723"/>
      <c r="J76" s="723"/>
      <c r="K76" s="712"/>
      <c r="L76" s="723"/>
      <c r="M76" s="712"/>
      <c r="N76" s="723"/>
      <c r="O76" s="712"/>
      <c r="R76" s="713" t="s">
        <v>1762</v>
      </c>
      <c r="T76" s="712">
        <v>0</v>
      </c>
      <c r="U76" s="712"/>
      <c r="V76" s="712">
        <f t="shared" si="67"/>
        <v>0</v>
      </c>
      <c r="W76" s="712"/>
      <c r="X76" s="712">
        <v>0</v>
      </c>
      <c r="Y76" s="712"/>
      <c r="Z76" s="712">
        <f t="shared" si="68"/>
        <v>0</v>
      </c>
      <c r="AA76" s="712"/>
      <c r="AB76" s="607" t="s">
        <v>1560</v>
      </c>
      <c r="AC76" s="712"/>
      <c r="AD76" s="712">
        <v>0</v>
      </c>
      <c r="AE76" s="712"/>
      <c r="AF76" s="723"/>
      <c r="AG76" s="712"/>
      <c r="AH76" s="712">
        <v>0</v>
      </c>
      <c r="AI76" s="712"/>
      <c r="AJ76" s="607" t="s">
        <v>1772</v>
      </c>
      <c r="AK76" s="712"/>
      <c r="AL76" s="605">
        <f t="shared" si="69"/>
        <v>0</v>
      </c>
      <c r="AM76" s="712"/>
      <c r="AN76" s="605">
        <f t="shared" si="69"/>
        <v>0</v>
      </c>
      <c r="AO76" s="712"/>
      <c r="AP76" s="605">
        <f t="shared" si="69"/>
        <v>0</v>
      </c>
      <c r="AQ76" s="712"/>
      <c r="AR76" s="712">
        <f t="shared" si="64"/>
        <v>0</v>
      </c>
      <c r="AT76" s="712">
        <v>0</v>
      </c>
      <c r="AU76" s="712"/>
      <c r="AV76" s="723"/>
      <c r="AW76" s="712"/>
      <c r="AX76" s="712">
        <v>0</v>
      </c>
      <c r="AY76" s="712"/>
      <c r="AZ76" s="605">
        <f t="shared" si="70"/>
        <v>0</v>
      </c>
      <c r="BA76" s="712"/>
      <c r="BB76" s="605">
        <f t="shared" si="71"/>
        <v>0</v>
      </c>
      <c r="BC76" s="712"/>
      <c r="BD76" s="605">
        <f t="shared" si="72"/>
        <v>0</v>
      </c>
      <c r="BE76" s="712"/>
      <c r="BF76" s="712">
        <f t="shared" si="65"/>
        <v>0</v>
      </c>
      <c r="BG76" s="712"/>
      <c r="BH76" s="712">
        <f t="shared" si="66"/>
        <v>0</v>
      </c>
      <c r="BJ76" s="590">
        <f t="shared" si="62"/>
        <v>434</v>
      </c>
    </row>
    <row r="77" spans="1:62">
      <c r="A77" s="590">
        <f t="shared" si="63"/>
        <v>435</v>
      </c>
      <c r="B77" s="729" t="s">
        <v>1826</v>
      </c>
      <c r="F77" s="715" t="s">
        <v>1766</v>
      </c>
      <c r="H77" s="723"/>
      <c r="J77" s="723"/>
      <c r="K77" s="712"/>
      <c r="L77" s="723"/>
      <c r="M77" s="712"/>
      <c r="N77" s="723"/>
      <c r="O77" s="712"/>
      <c r="R77" s="713" t="s">
        <v>1762</v>
      </c>
      <c r="T77" s="712">
        <v>0</v>
      </c>
      <c r="U77" s="712"/>
      <c r="V77" s="712">
        <f t="shared" si="67"/>
        <v>0</v>
      </c>
      <c r="W77" s="712"/>
      <c r="X77" s="712">
        <v>0</v>
      </c>
      <c r="Y77" s="712"/>
      <c r="Z77" s="712">
        <f t="shared" si="68"/>
        <v>0</v>
      </c>
      <c r="AA77" s="712"/>
      <c r="AB77" s="607" t="s">
        <v>1560</v>
      </c>
      <c r="AC77" s="712"/>
      <c r="AD77" s="712">
        <v>0</v>
      </c>
      <c r="AE77" s="712"/>
      <c r="AF77" s="723"/>
      <c r="AG77" s="712"/>
      <c r="AH77" s="712">
        <v>0</v>
      </c>
      <c r="AI77" s="712"/>
      <c r="AJ77" s="607" t="s">
        <v>1772</v>
      </c>
      <c r="AK77" s="712"/>
      <c r="AL77" s="605">
        <f t="shared" si="69"/>
        <v>0</v>
      </c>
      <c r="AM77" s="712"/>
      <c r="AN77" s="605">
        <f t="shared" si="69"/>
        <v>0</v>
      </c>
      <c r="AO77" s="712"/>
      <c r="AP77" s="605">
        <f t="shared" si="69"/>
        <v>0</v>
      </c>
      <c r="AQ77" s="712"/>
      <c r="AR77" s="712">
        <f t="shared" si="64"/>
        <v>0</v>
      </c>
      <c r="AT77" s="712">
        <v>0</v>
      </c>
      <c r="AU77" s="712"/>
      <c r="AV77" s="723"/>
      <c r="AW77" s="712"/>
      <c r="AX77" s="712">
        <v>0</v>
      </c>
      <c r="AY77" s="712"/>
      <c r="AZ77" s="605">
        <f t="shared" si="70"/>
        <v>0</v>
      </c>
      <c r="BA77" s="712"/>
      <c r="BB77" s="605">
        <f t="shared" si="71"/>
        <v>0</v>
      </c>
      <c r="BC77" s="712"/>
      <c r="BD77" s="605">
        <f t="shared" si="72"/>
        <v>0</v>
      </c>
      <c r="BE77" s="712"/>
      <c r="BF77" s="712">
        <f t="shared" si="65"/>
        <v>0</v>
      </c>
      <c r="BG77" s="712"/>
      <c r="BH77" s="712">
        <f t="shared" si="66"/>
        <v>0</v>
      </c>
      <c r="BJ77" s="590">
        <f t="shared" si="62"/>
        <v>435</v>
      </c>
    </row>
    <row r="78" spans="1:62">
      <c r="A78" s="590">
        <f t="shared" si="63"/>
        <v>436</v>
      </c>
      <c r="B78" s="729" t="s">
        <v>1827</v>
      </c>
      <c r="F78" s="715" t="s">
        <v>1766</v>
      </c>
      <c r="H78" s="723"/>
      <c r="J78" s="723"/>
      <c r="K78" s="712"/>
      <c r="L78" s="723"/>
      <c r="M78" s="712"/>
      <c r="N78" s="723"/>
      <c r="O78" s="712"/>
      <c r="R78" s="713" t="s">
        <v>1762</v>
      </c>
      <c r="T78" s="712">
        <v>0</v>
      </c>
      <c r="U78" s="712"/>
      <c r="V78" s="712">
        <f t="shared" si="67"/>
        <v>0</v>
      </c>
      <c r="W78" s="712"/>
      <c r="X78" s="712">
        <v>0</v>
      </c>
      <c r="Y78" s="712"/>
      <c r="Z78" s="712">
        <f t="shared" si="68"/>
        <v>0</v>
      </c>
      <c r="AA78" s="712"/>
      <c r="AB78" s="607" t="s">
        <v>1560</v>
      </c>
      <c r="AC78" s="712"/>
      <c r="AD78" s="712">
        <v>0</v>
      </c>
      <c r="AE78" s="712"/>
      <c r="AF78" s="723"/>
      <c r="AG78" s="712"/>
      <c r="AH78" s="712">
        <v>0</v>
      </c>
      <c r="AI78" s="712"/>
      <c r="AJ78" s="607" t="s">
        <v>1772</v>
      </c>
      <c r="AK78" s="712"/>
      <c r="AL78" s="605">
        <f t="shared" si="69"/>
        <v>0</v>
      </c>
      <c r="AM78" s="712"/>
      <c r="AN78" s="605">
        <f t="shared" si="69"/>
        <v>0</v>
      </c>
      <c r="AO78" s="712"/>
      <c r="AP78" s="605">
        <f t="shared" si="69"/>
        <v>0</v>
      </c>
      <c r="AQ78" s="712"/>
      <c r="AR78" s="712">
        <f t="shared" si="64"/>
        <v>0</v>
      </c>
      <c r="AT78" s="712">
        <v>0</v>
      </c>
      <c r="AU78" s="712"/>
      <c r="AV78" s="723"/>
      <c r="AW78" s="712"/>
      <c r="AX78" s="712">
        <v>0</v>
      </c>
      <c r="AY78" s="712"/>
      <c r="AZ78" s="605">
        <f t="shared" si="70"/>
        <v>0</v>
      </c>
      <c r="BA78" s="712"/>
      <c r="BB78" s="605">
        <f t="shared" si="71"/>
        <v>0</v>
      </c>
      <c r="BC78" s="712"/>
      <c r="BD78" s="605">
        <f t="shared" si="72"/>
        <v>0</v>
      </c>
      <c r="BE78" s="712"/>
      <c r="BF78" s="712">
        <f t="shared" si="65"/>
        <v>0</v>
      </c>
      <c r="BG78" s="712"/>
      <c r="BH78" s="712">
        <f t="shared" si="66"/>
        <v>0</v>
      </c>
      <c r="BJ78" s="590">
        <f t="shared" si="62"/>
        <v>436</v>
      </c>
    </row>
    <row r="79" spans="1:62">
      <c r="A79" s="590">
        <f t="shared" si="63"/>
        <v>437</v>
      </c>
      <c r="B79" s="729" t="s">
        <v>1828</v>
      </c>
      <c r="F79" s="715" t="s">
        <v>1766</v>
      </c>
      <c r="H79" s="723"/>
      <c r="J79" s="723"/>
      <c r="K79" s="712"/>
      <c r="L79" s="723"/>
      <c r="M79" s="712"/>
      <c r="N79" s="723"/>
      <c r="O79" s="712"/>
      <c r="R79" s="713" t="s">
        <v>1762</v>
      </c>
      <c r="T79" s="712">
        <v>0</v>
      </c>
      <c r="U79" s="712"/>
      <c r="V79" s="712">
        <f t="shared" si="67"/>
        <v>0</v>
      </c>
      <c r="W79" s="712"/>
      <c r="X79" s="712">
        <v>0</v>
      </c>
      <c r="Y79" s="712"/>
      <c r="Z79" s="712">
        <f t="shared" si="68"/>
        <v>0</v>
      </c>
      <c r="AA79" s="712"/>
      <c r="AB79" s="607" t="s">
        <v>1560</v>
      </c>
      <c r="AC79" s="712"/>
      <c r="AD79" s="712">
        <v>0</v>
      </c>
      <c r="AE79" s="712"/>
      <c r="AF79" s="723"/>
      <c r="AG79" s="712"/>
      <c r="AH79" s="712">
        <v>0</v>
      </c>
      <c r="AI79" s="712"/>
      <c r="AJ79" s="607" t="s">
        <v>1772</v>
      </c>
      <c r="AK79" s="712"/>
      <c r="AL79" s="605">
        <f t="shared" si="69"/>
        <v>0</v>
      </c>
      <c r="AM79" s="712"/>
      <c r="AN79" s="605">
        <f t="shared" si="69"/>
        <v>0</v>
      </c>
      <c r="AO79" s="712"/>
      <c r="AP79" s="605">
        <f t="shared" si="69"/>
        <v>0</v>
      </c>
      <c r="AQ79" s="712"/>
      <c r="AR79" s="712">
        <f t="shared" si="64"/>
        <v>0</v>
      </c>
      <c r="AT79" s="712">
        <v>0</v>
      </c>
      <c r="AU79" s="712"/>
      <c r="AV79" s="723"/>
      <c r="AW79" s="712"/>
      <c r="AX79" s="712">
        <v>0</v>
      </c>
      <c r="AY79" s="712"/>
      <c r="AZ79" s="605">
        <f t="shared" si="70"/>
        <v>0</v>
      </c>
      <c r="BA79" s="712"/>
      <c r="BB79" s="605">
        <f t="shared" si="71"/>
        <v>0</v>
      </c>
      <c r="BC79" s="712"/>
      <c r="BD79" s="605">
        <f t="shared" si="72"/>
        <v>0</v>
      </c>
      <c r="BE79" s="712"/>
      <c r="BF79" s="712">
        <f t="shared" si="65"/>
        <v>0</v>
      </c>
      <c r="BG79" s="712"/>
      <c r="BH79" s="712">
        <f t="shared" si="66"/>
        <v>0</v>
      </c>
      <c r="BJ79" s="590">
        <f t="shared" si="62"/>
        <v>437</v>
      </c>
    </row>
    <row r="80" spans="1:62">
      <c r="A80" s="590">
        <f t="shared" si="63"/>
        <v>438</v>
      </c>
      <c r="B80" s="729" t="s">
        <v>1829</v>
      </c>
      <c r="F80" s="715" t="s">
        <v>1766</v>
      </c>
      <c r="H80" s="723"/>
      <c r="J80" s="723"/>
      <c r="K80" s="712"/>
      <c r="L80" s="723"/>
      <c r="M80" s="712"/>
      <c r="N80" s="723"/>
      <c r="O80" s="712"/>
      <c r="R80" s="713" t="s">
        <v>1762</v>
      </c>
      <c r="T80" s="712">
        <v>0</v>
      </c>
      <c r="U80" s="712"/>
      <c r="V80" s="712">
        <f t="shared" si="67"/>
        <v>0</v>
      </c>
      <c r="W80" s="712"/>
      <c r="X80" s="712">
        <v>0</v>
      </c>
      <c r="Y80" s="712"/>
      <c r="Z80" s="712">
        <f t="shared" si="68"/>
        <v>0</v>
      </c>
      <c r="AA80" s="712"/>
      <c r="AB80" s="607" t="s">
        <v>1560</v>
      </c>
      <c r="AC80" s="712"/>
      <c r="AD80" s="712">
        <v>0</v>
      </c>
      <c r="AE80" s="712"/>
      <c r="AF80" s="723"/>
      <c r="AG80" s="712"/>
      <c r="AH80" s="712">
        <v>0</v>
      </c>
      <c r="AI80" s="712"/>
      <c r="AJ80" s="607" t="s">
        <v>1772</v>
      </c>
      <c r="AK80" s="712"/>
      <c r="AL80" s="605">
        <f t="shared" si="69"/>
        <v>0</v>
      </c>
      <c r="AM80" s="712"/>
      <c r="AN80" s="605">
        <f t="shared" si="69"/>
        <v>0</v>
      </c>
      <c r="AO80" s="712"/>
      <c r="AP80" s="605">
        <f t="shared" si="69"/>
        <v>0</v>
      </c>
      <c r="AQ80" s="712"/>
      <c r="AR80" s="712">
        <f t="shared" si="64"/>
        <v>0</v>
      </c>
      <c r="AT80" s="712">
        <v>0</v>
      </c>
      <c r="AU80" s="712"/>
      <c r="AV80" s="723"/>
      <c r="AW80" s="712"/>
      <c r="AX80" s="712">
        <v>0</v>
      </c>
      <c r="AY80" s="712"/>
      <c r="AZ80" s="605">
        <f t="shared" si="70"/>
        <v>0</v>
      </c>
      <c r="BA80" s="712"/>
      <c r="BB80" s="605">
        <f t="shared" si="71"/>
        <v>0</v>
      </c>
      <c r="BC80" s="712"/>
      <c r="BD80" s="605">
        <f t="shared" si="72"/>
        <v>0</v>
      </c>
      <c r="BE80" s="712"/>
      <c r="BF80" s="712">
        <f t="shared" si="65"/>
        <v>0</v>
      </c>
      <c r="BG80" s="712"/>
      <c r="BH80" s="712">
        <f t="shared" si="66"/>
        <v>0</v>
      </c>
      <c r="BJ80" s="590">
        <f t="shared" si="62"/>
        <v>438</v>
      </c>
    </row>
    <row r="81" spans="1:62">
      <c r="A81" s="590">
        <f t="shared" si="63"/>
        <v>439</v>
      </c>
      <c r="B81" s="729" t="s">
        <v>1830</v>
      </c>
      <c r="F81" s="715" t="s">
        <v>1766</v>
      </c>
      <c r="H81" s="723"/>
      <c r="J81" s="723"/>
      <c r="K81" s="712"/>
      <c r="L81" s="723"/>
      <c r="M81" s="712"/>
      <c r="N81" s="723"/>
      <c r="O81" s="712"/>
      <c r="R81" s="713" t="s">
        <v>1762</v>
      </c>
      <c r="T81" s="712">
        <v>0</v>
      </c>
      <c r="U81" s="712"/>
      <c r="V81" s="712">
        <f t="shared" si="67"/>
        <v>0</v>
      </c>
      <c r="W81" s="712"/>
      <c r="X81" s="712">
        <v>0</v>
      </c>
      <c r="Y81" s="712"/>
      <c r="Z81" s="712">
        <f t="shared" si="68"/>
        <v>0</v>
      </c>
      <c r="AA81" s="712"/>
      <c r="AB81" s="607" t="s">
        <v>1560</v>
      </c>
      <c r="AC81" s="712"/>
      <c r="AD81" s="712">
        <v>0</v>
      </c>
      <c r="AE81" s="712"/>
      <c r="AF81" s="723"/>
      <c r="AG81" s="712"/>
      <c r="AH81" s="712">
        <v>0</v>
      </c>
      <c r="AI81" s="712"/>
      <c r="AJ81" s="607" t="s">
        <v>1772</v>
      </c>
      <c r="AK81" s="712"/>
      <c r="AL81" s="605">
        <f t="shared" si="69"/>
        <v>0</v>
      </c>
      <c r="AM81" s="712"/>
      <c r="AN81" s="605">
        <f t="shared" si="69"/>
        <v>0</v>
      </c>
      <c r="AO81" s="712"/>
      <c r="AP81" s="605">
        <f t="shared" si="69"/>
        <v>0</v>
      </c>
      <c r="AQ81" s="712"/>
      <c r="AR81" s="712">
        <f t="shared" si="64"/>
        <v>0</v>
      </c>
      <c r="AT81" s="712">
        <v>0</v>
      </c>
      <c r="AU81" s="712"/>
      <c r="AV81" s="723"/>
      <c r="AW81" s="712"/>
      <c r="AX81" s="712">
        <v>0</v>
      </c>
      <c r="AY81" s="712"/>
      <c r="AZ81" s="605">
        <f t="shared" si="70"/>
        <v>0</v>
      </c>
      <c r="BA81" s="712"/>
      <c r="BB81" s="605">
        <f t="shared" si="71"/>
        <v>0</v>
      </c>
      <c r="BC81" s="712"/>
      <c r="BD81" s="605">
        <f t="shared" si="72"/>
        <v>0</v>
      </c>
      <c r="BE81" s="712"/>
      <c r="BF81" s="712">
        <f t="shared" si="65"/>
        <v>0</v>
      </c>
      <c r="BG81" s="712"/>
      <c r="BH81" s="712">
        <f t="shared" si="66"/>
        <v>0</v>
      </c>
      <c r="BJ81" s="590">
        <f t="shared" si="62"/>
        <v>439</v>
      </c>
    </row>
    <row r="82" spans="1:62">
      <c r="A82" s="590">
        <f t="shared" si="63"/>
        <v>440</v>
      </c>
      <c r="B82" s="729" t="s">
        <v>1831</v>
      </c>
      <c r="F82" s="715" t="s">
        <v>1766</v>
      </c>
      <c r="H82" s="723"/>
      <c r="J82" s="723"/>
      <c r="K82" s="712"/>
      <c r="L82" s="723"/>
      <c r="M82" s="712"/>
      <c r="N82" s="723"/>
      <c r="O82" s="712"/>
      <c r="R82" s="713" t="s">
        <v>1762</v>
      </c>
      <c r="T82" s="712">
        <v>0</v>
      </c>
      <c r="U82" s="712"/>
      <c r="V82" s="712">
        <f t="shared" si="67"/>
        <v>0</v>
      </c>
      <c r="W82" s="712"/>
      <c r="X82" s="712">
        <v>0</v>
      </c>
      <c r="Y82" s="712"/>
      <c r="Z82" s="712">
        <f t="shared" si="68"/>
        <v>0</v>
      </c>
      <c r="AA82" s="712"/>
      <c r="AB82" s="607" t="s">
        <v>1560</v>
      </c>
      <c r="AC82" s="712"/>
      <c r="AD82" s="712">
        <v>0</v>
      </c>
      <c r="AE82" s="712"/>
      <c r="AF82" s="723"/>
      <c r="AG82" s="712"/>
      <c r="AH82" s="712">
        <v>0</v>
      </c>
      <c r="AI82" s="712"/>
      <c r="AJ82" s="607" t="s">
        <v>1772</v>
      </c>
      <c r="AK82" s="712"/>
      <c r="AL82" s="605">
        <f t="shared" si="69"/>
        <v>0</v>
      </c>
      <c r="AM82" s="712"/>
      <c r="AN82" s="605">
        <f t="shared" si="69"/>
        <v>0</v>
      </c>
      <c r="AO82" s="712"/>
      <c r="AP82" s="605">
        <f t="shared" si="69"/>
        <v>0</v>
      </c>
      <c r="AQ82" s="712"/>
      <c r="AR82" s="712">
        <f t="shared" si="64"/>
        <v>0</v>
      </c>
      <c r="AT82" s="712">
        <v>0</v>
      </c>
      <c r="AU82" s="712"/>
      <c r="AV82" s="723"/>
      <c r="AW82" s="712"/>
      <c r="AX82" s="712">
        <v>0</v>
      </c>
      <c r="AY82" s="712"/>
      <c r="AZ82" s="605">
        <f t="shared" si="70"/>
        <v>0</v>
      </c>
      <c r="BA82" s="712"/>
      <c r="BB82" s="605">
        <f t="shared" si="71"/>
        <v>0</v>
      </c>
      <c r="BC82" s="712"/>
      <c r="BD82" s="605">
        <f t="shared" si="72"/>
        <v>0</v>
      </c>
      <c r="BE82" s="712"/>
      <c r="BF82" s="712">
        <f t="shared" si="65"/>
        <v>0</v>
      </c>
      <c r="BG82" s="712"/>
      <c r="BH82" s="712">
        <f t="shared" si="66"/>
        <v>0</v>
      </c>
      <c r="BJ82" s="590">
        <f t="shared" si="62"/>
        <v>440</v>
      </c>
    </row>
    <row r="83" spans="1:62">
      <c r="A83" s="590">
        <f t="shared" si="63"/>
        <v>441</v>
      </c>
      <c r="B83" s="729" t="s">
        <v>1832</v>
      </c>
      <c r="F83" s="715" t="s">
        <v>1766</v>
      </c>
      <c r="H83" s="723"/>
      <c r="J83" s="723"/>
      <c r="K83" s="712"/>
      <c r="L83" s="723"/>
      <c r="M83" s="712"/>
      <c r="N83" s="723"/>
      <c r="O83" s="712"/>
      <c r="R83" s="713" t="s">
        <v>1762</v>
      </c>
      <c r="T83" s="712">
        <v>0</v>
      </c>
      <c r="U83" s="712"/>
      <c r="V83" s="712">
        <f t="shared" si="67"/>
        <v>0</v>
      </c>
      <c r="W83" s="712"/>
      <c r="X83" s="712">
        <v>0</v>
      </c>
      <c r="Y83" s="712"/>
      <c r="Z83" s="712">
        <f t="shared" si="68"/>
        <v>0</v>
      </c>
      <c r="AA83" s="712"/>
      <c r="AB83" s="607" t="s">
        <v>1560</v>
      </c>
      <c r="AC83" s="712"/>
      <c r="AD83" s="712">
        <v>0</v>
      </c>
      <c r="AE83" s="712"/>
      <c r="AF83" s="723"/>
      <c r="AG83" s="712"/>
      <c r="AH83" s="712">
        <v>0</v>
      </c>
      <c r="AI83" s="712"/>
      <c r="AJ83" s="607" t="s">
        <v>1772</v>
      </c>
      <c r="AK83" s="712"/>
      <c r="AL83" s="605">
        <f t="shared" si="69"/>
        <v>0</v>
      </c>
      <c r="AM83" s="712"/>
      <c r="AN83" s="605">
        <f t="shared" si="69"/>
        <v>0</v>
      </c>
      <c r="AO83" s="712"/>
      <c r="AP83" s="605">
        <f t="shared" si="69"/>
        <v>0</v>
      </c>
      <c r="AQ83" s="712"/>
      <c r="AR83" s="712">
        <f t="shared" si="64"/>
        <v>0</v>
      </c>
      <c r="AT83" s="712">
        <v>0</v>
      </c>
      <c r="AU83" s="712"/>
      <c r="AV83" s="723"/>
      <c r="AW83" s="712"/>
      <c r="AX83" s="712">
        <v>0</v>
      </c>
      <c r="AY83" s="712"/>
      <c r="AZ83" s="605">
        <f t="shared" si="70"/>
        <v>0</v>
      </c>
      <c r="BA83" s="712"/>
      <c r="BB83" s="605">
        <f t="shared" si="71"/>
        <v>0</v>
      </c>
      <c r="BC83" s="712"/>
      <c r="BD83" s="605">
        <f t="shared" si="72"/>
        <v>0</v>
      </c>
      <c r="BE83" s="712"/>
      <c r="BF83" s="712">
        <f t="shared" si="65"/>
        <v>0</v>
      </c>
      <c r="BG83" s="712"/>
      <c r="BH83" s="712">
        <f t="shared" si="66"/>
        <v>0</v>
      </c>
      <c r="BJ83" s="590">
        <f t="shared" si="62"/>
        <v>441</v>
      </c>
    </row>
    <row r="84" spans="1:62">
      <c r="A84" s="590">
        <f t="shared" si="63"/>
        <v>442</v>
      </c>
      <c r="B84" s="729" t="s">
        <v>1833</v>
      </c>
      <c r="F84" s="715" t="s">
        <v>1766</v>
      </c>
      <c r="H84" s="723"/>
      <c r="J84" s="723"/>
      <c r="K84" s="712"/>
      <c r="L84" s="723"/>
      <c r="M84" s="712"/>
      <c r="N84" s="723"/>
      <c r="O84" s="712"/>
      <c r="R84" s="713" t="s">
        <v>1762</v>
      </c>
      <c r="T84" s="712">
        <v>0</v>
      </c>
      <c r="U84" s="712"/>
      <c r="V84" s="712">
        <f t="shared" si="67"/>
        <v>0</v>
      </c>
      <c r="W84" s="712"/>
      <c r="X84" s="712">
        <v>0</v>
      </c>
      <c r="Y84" s="712"/>
      <c r="Z84" s="712">
        <f t="shared" si="68"/>
        <v>0</v>
      </c>
      <c r="AA84" s="712"/>
      <c r="AB84" s="607" t="s">
        <v>1560</v>
      </c>
      <c r="AC84" s="712"/>
      <c r="AD84" s="712">
        <v>0</v>
      </c>
      <c r="AE84" s="712"/>
      <c r="AF84" s="723"/>
      <c r="AG84" s="712"/>
      <c r="AH84" s="712">
        <v>0</v>
      </c>
      <c r="AI84" s="712"/>
      <c r="AJ84" s="607" t="s">
        <v>1772</v>
      </c>
      <c r="AK84" s="712"/>
      <c r="AL84" s="605">
        <f t="shared" si="69"/>
        <v>0</v>
      </c>
      <c r="AM84" s="712"/>
      <c r="AN84" s="605">
        <f t="shared" si="69"/>
        <v>0</v>
      </c>
      <c r="AO84" s="712"/>
      <c r="AP84" s="605">
        <f t="shared" si="69"/>
        <v>0</v>
      </c>
      <c r="AQ84" s="712"/>
      <c r="AR84" s="712">
        <f t="shared" si="64"/>
        <v>0</v>
      </c>
      <c r="AT84" s="712">
        <v>0</v>
      </c>
      <c r="AU84" s="712"/>
      <c r="AV84" s="723"/>
      <c r="AW84" s="712"/>
      <c r="AX84" s="712">
        <v>0</v>
      </c>
      <c r="AY84" s="712"/>
      <c r="AZ84" s="605">
        <f t="shared" si="70"/>
        <v>0</v>
      </c>
      <c r="BA84" s="712"/>
      <c r="BB84" s="605">
        <f t="shared" si="71"/>
        <v>0</v>
      </c>
      <c r="BC84" s="712"/>
      <c r="BD84" s="605">
        <f t="shared" si="72"/>
        <v>0</v>
      </c>
      <c r="BE84" s="712"/>
      <c r="BF84" s="712">
        <f t="shared" si="65"/>
        <v>0</v>
      </c>
      <c r="BG84" s="712"/>
      <c r="BH84" s="712">
        <f t="shared" si="66"/>
        <v>0</v>
      </c>
      <c r="BJ84" s="590">
        <f t="shared" si="62"/>
        <v>442</v>
      </c>
    </row>
    <row r="85" spans="1:62">
      <c r="A85" s="590">
        <f t="shared" si="63"/>
        <v>443</v>
      </c>
      <c r="B85" s="729" t="s">
        <v>1834</v>
      </c>
      <c r="F85" s="715" t="s">
        <v>1766</v>
      </c>
      <c r="H85" s="723"/>
      <c r="J85" s="723"/>
      <c r="K85" s="712"/>
      <c r="L85" s="723"/>
      <c r="M85" s="712"/>
      <c r="N85" s="723"/>
      <c r="O85" s="712"/>
      <c r="R85" s="713" t="s">
        <v>1762</v>
      </c>
      <c r="T85" s="712">
        <v>0</v>
      </c>
      <c r="U85" s="712"/>
      <c r="V85" s="712">
        <f t="shared" si="67"/>
        <v>0</v>
      </c>
      <c r="W85" s="712"/>
      <c r="X85" s="712">
        <v>0</v>
      </c>
      <c r="Y85" s="712"/>
      <c r="Z85" s="712">
        <f t="shared" si="68"/>
        <v>0</v>
      </c>
      <c r="AA85" s="712"/>
      <c r="AB85" s="607" t="s">
        <v>1560</v>
      </c>
      <c r="AC85" s="712"/>
      <c r="AD85" s="712">
        <v>0</v>
      </c>
      <c r="AE85" s="712"/>
      <c r="AF85" s="723"/>
      <c r="AG85" s="712"/>
      <c r="AH85" s="712">
        <v>0</v>
      </c>
      <c r="AI85" s="712"/>
      <c r="AJ85" s="607" t="s">
        <v>1772</v>
      </c>
      <c r="AK85" s="712"/>
      <c r="AL85" s="605">
        <f t="shared" si="69"/>
        <v>0</v>
      </c>
      <c r="AM85" s="712"/>
      <c r="AN85" s="605">
        <f t="shared" si="69"/>
        <v>0</v>
      </c>
      <c r="AO85" s="712"/>
      <c r="AP85" s="605">
        <f t="shared" si="69"/>
        <v>0</v>
      </c>
      <c r="AQ85" s="712"/>
      <c r="AR85" s="712">
        <f t="shared" si="64"/>
        <v>0</v>
      </c>
      <c r="AT85" s="712">
        <v>0</v>
      </c>
      <c r="AU85" s="712"/>
      <c r="AV85" s="723"/>
      <c r="AW85" s="712"/>
      <c r="AX85" s="712">
        <v>0</v>
      </c>
      <c r="AY85" s="712"/>
      <c r="AZ85" s="605">
        <f t="shared" si="70"/>
        <v>0</v>
      </c>
      <c r="BA85" s="712"/>
      <c r="BB85" s="605">
        <f t="shared" si="71"/>
        <v>0</v>
      </c>
      <c r="BC85" s="712"/>
      <c r="BD85" s="605">
        <f t="shared" si="72"/>
        <v>0</v>
      </c>
      <c r="BE85" s="712"/>
      <c r="BF85" s="712">
        <f t="shared" si="65"/>
        <v>0</v>
      </c>
      <c r="BG85" s="712"/>
      <c r="BH85" s="712">
        <f t="shared" si="66"/>
        <v>0</v>
      </c>
      <c r="BJ85" s="590">
        <f t="shared" si="62"/>
        <v>443</v>
      </c>
    </row>
    <row r="86" spans="1:62">
      <c r="A86" s="590">
        <f t="shared" si="63"/>
        <v>444</v>
      </c>
      <c r="B86" s="729" t="s">
        <v>1835</v>
      </c>
      <c r="F86" s="715" t="s">
        <v>1766</v>
      </c>
      <c r="H86" s="723"/>
      <c r="J86" s="723"/>
      <c r="K86" s="712"/>
      <c r="L86" s="723"/>
      <c r="M86" s="712"/>
      <c r="N86" s="723"/>
      <c r="O86" s="712"/>
      <c r="R86" s="713" t="s">
        <v>1762</v>
      </c>
      <c r="T86" s="712">
        <v>0</v>
      </c>
      <c r="U86" s="712"/>
      <c r="V86" s="712">
        <f t="shared" si="67"/>
        <v>0</v>
      </c>
      <c r="W86" s="712"/>
      <c r="X86" s="712">
        <v>0</v>
      </c>
      <c r="Y86" s="712"/>
      <c r="Z86" s="712">
        <f t="shared" si="68"/>
        <v>0</v>
      </c>
      <c r="AA86" s="712"/>
      <c r="AB86" s="607" t="s">
        <v>1560</v>
      </c>
      <c r="AC86" s="712"/>
      <c r="AD86" s="712">
        <v>0</v>
      </c>
      <c r="AE86" s="712"/>
      <c r="AF86" s="723"/>
      <c r="AG86" s="712"/>
      <c r="AH86" s="712">
        <v>0</v>
      </c>
      <c r="AI86" s="712"/>
      <c r="AJ86" s="607" t="s">
        <v>1772</v>
      </c>
      <c r="AK86" s="712"/>
      <c r="AL86" s="605">
        <f t="shared" si="69"/>
        <v>0</v>
      </c>
      <c r="AM86" s="712"/>
      <c r="AN86" s="605">
        <f t="shared" si="69"/>
        <v>0</v>
      </c>
      <c r="AO86" s="712"/>
      <c r="AP86" s="605">
        <f t="shared" si="69"/>
        <v>0</v>
      </c>
      <c r="AQ86" s="712"/>
      <c r="AR86" s="712">
        <f t="shared" si="64"/>
        <v>0</v>
      </c>
      <c r="AT86" s="712">
        <v>0</v>
      </c>
      <c r="AU86" s="712"/>
      <c r="AV86" s="723"/>
      <c r="AW86" s="712"/>
      <c r="AX86" s="712">
        <v>0</v>
      </c>
      <c r="AY86" s="712"/>
      <c r="AZ86" s="605">
        <f t="shared" si="70"/>
        <v>0</v>
      </c>
      <c r="BA86" s="712"/>
      <c r="BB86" s="605">
        <f t="shared" si="71"/>
        <v>0</v>
      </c>
      <c r="BC86" s="712"/>
      <c r="BD86" s="605">
        <f t="shared" si="72"/>
        <v>0</v>
      </c>
      <c r="BE86" s="712"/>
      <c r="BF86" s="712">
        <f t="shared" si="65"/>
        <v>0</v>
      </c>
      <c r="BG86" s="712"/>
      <c r="BH86" s="712">
        <f t="shared" si="66"/>
        <v>0</v>
      </c>
      <c r="BJ86" s="590">
        <f t="shared" si="62"/>
        <v>444</v>
      </c>
    </row>
    <row r="87" spans="1:62">
      <c r="A87" s="590">
        <f t="shared" si="63"/>
        <v>445</v>
      </c>
      <c r="B87" s="729" t="s">
        <v>1836</v>
      </c>
      <c r="F87" s="715" t="s">
        <v>1766</v>
      </c>
      <c r="H87" s="723"/>
      <c r="J87" s="723"/>
      <c r="K87" s="712"/>
      <c r="L87" s="723"/>
      <c r="M87" s="712"/>
      <c r="N87" s="723"/>
      <c r="O87" s="712"/>
      <c r="R87" s="713" t="s">
        <v>1762</v>
      </c>
      <c r="T87" s="712">
        <v>0</v>
      </c>
      <c r="U87" s="712"/>
      <c r="V87" s="712">
        <f t="shared" si="67"/>
        <v>0</v>
      </c>
      <c r="W87" s="712"/>
      <c r="X87" s="712">
        <v>0</v>
      </c>
      <c r="Y87" s="712"/>
      <c r="Z87" s="712">
        <f t="shared" si="68"/>
        <v>0</v>
      </c>
      <c r="AA87" s="712"/>
      <c r="AB87" s="607" t="s">
        <v>1560</v>
      </c>
      <c r="AC87" s="712"/>
      <c r="AD87" s="712">
        <v>0</v>
      </c>
      <c r="AE87" s="712"/>
      <c r="AF87" s="723"/>
      <c r="AG87" s="712"/>
      <c r="AH87" s="712">
        <v>0</v>
      </c>
      <c r="AI87" s="712"/>
      <c r="AJ87" s="607" t="s">
        <v>1772</v>
      </c>
      <c r="AK87" s="712"/>
      <c r="AL87" s="605">
        <f t="shared" si="69"/>
        <v>0</v>
      </c>
      <c r="AM87" s="712"/>
      <c r="AN87" s="605">
        <f t="shared" si="69"/>
        <v>0</v>
      </c>
      <c r="AO87" s="712"/>
      <c r="AP87" s="605">
        <f t="shared" si="69"/>
        <v>0</v>
      </c>
      <c r="AQ87" s="712"/>
      <c r="AR87" s="712">
        <f t="shared" si="64"/>
        <v>0</v>
      </c>
      <c r="AT87" s="712">
        <v>0</v>
      </c>
      <c r="AU87" s="712"/>
      <c r="AV87" s="723"/>
      <c r="AW87" s="712"/>
      <c r="AX87" s="712">
        <v>0</v>
      </c>
      <c r="AY87" s="712"/>
      <c r="AZ87" s="605">
        <f t="shared" si="70"/>
        <v>0</v>
      </c>
      <c r="BA87" s="712"/>
      <c r="BB87" s="605">
        <f t="shared" si="71"/>
        <v>0</v>
      </c>
      <c r="BC87" s="712"/>
      <c r="BD87" s="605">
        <f t="shared" si="72"/>
        <v>0</v>
      </c>
      <c r="BE87" s="712"/>
      <c r="BF87" s="712">
        <f t="shared" si="65"/>
        <v>0</v>
      </c>
      <c r="BG87" s="712"/>
      <c r="BH87" s="712">
        <f t="shared" si="66"/>
        <v>0</v>
      </c>
      <c r="BJ87" s="590">
        <f t="shared" si="62"/>
        <v>445</v>
      </c>
    </row>
    <row r="88" spans="1:62">
      <c r="A88" s="590">
        <f t="shared" si="63"/>
        <v>446</v>
      </c>
      <c r="B88" s="729" t="s">
        <v>1837</v>
      </c>
      <c r="F88" s="715" t="s">
        <v>1766</v>
      </c>
      <c r="H88" s="723"/>
      <c r="J88" s="723"/>
      <c r="K88" s="712"/>
      <c r="L88" s="723"/>
      <c r="M88" s="712"/>
      <c r="N88" s="723"/>
      <c r="O88" s="712"/>
      <c r="R88" s="713" t="s">
        <v>1762</v>
      </c>
      <c r="T88" s="712">
        <v>0</v>
      </c>
      <c r="U88" s="712"/>
      <c r="V88" s="712">
        <f t="shared" si="67"/>
        <v>0</v>
      </c>
      <c r="W88" s="712"/>
      <c r="X88" s="712">
        <v>0</v>
      </c>
      <c r="Y88" s="712"/>
      <c r="Z88" s="712">
        <f t="shared" si="68"/>
        <v>0</v>
      </c>
      <c r="AA88" s="712"/>
      <c r="AB88" s="607" t="s">
        <v>1560</v>
      </c>
      <c r="AC88" s="712"/>
      <c r="AD88" s="712">
        <v>0</v>
      </c>
      <c r="AE88" s="712"/>
      <c r="AF88" s="723"/>
      <c r="AG88" s="712"/>
      <c r="AH88" s="712">
        <v>0</v>
      </c>
      <c r="AI88" s="712"/>
      <c r="AJ88" s="607" t="s">
        <v>1772</v>
      </c>
      <c r="AK88" s="712"/>
      <c r="AL88" s="605">
        <f t="shared" si="69"/>
        <v>0</v>
      </c>
      <c r="AM88" s="712"/>
      <c r="AN88" s="605">
        <f t="shared" si="69"/>
        <v>0</v>
      </c>
      <c r="AO88" s="712"/>
      <c r="AP88" s="605">
        <f t="shared" si="69"/>
        <v>0</v>
      </c>
      <c r="AQ88" s="712"/>
      <c r="AR88" s="712">
        <f t="shared" si="64"/>
        <v>0</v>
      </c>
      <c r="AT88" s="712">
        <v>0</v>
      </c>
      <c r="AU88" s="712"/>
      <c r="AV88" s="723"/>
      <c r="AW88" s="712"/>
      <c r="AX88" s="712">
        <v>0</v>
      </c>
      <c r="AY88" s="712"/>
      <c r="AZ88" s="605">
        <f t="shared" si="70"/>
        <v>0</v>
      </c>
      <c r="BA88" s="712"/>
      <c r="BB88" s="605">
        <f t="shared" si="71"/>
        <v>0</v>
      </c>
      <c r="BC88" s="712"/>
      <c r="BD88" s="605">
        <f t="shared" si="72"/>
        <v>0</v>
      </c>
      <c r="BE88" s="712"/>
      <c r="BF88" s="712">
        <f t="shared" si="65"/>
        <v>0</v>
      </c>
      <c r="BG88" s="712"/>
      <c r="BH88" s="712">
        <f t="shared" si="66"/>
        <v>0</v>
      </c>
      <c r="BJ88" s="590">
        <f t="shared" si="62"/>
        <v>446</v>
      </c>
    </row>
    <row r="89" spans="1:62">
      <c r="A89" s="590">
        <f t="shared" si="63"/>
        <v>447</v>
      </c>
      <c r="B89" s="729" t="s">
        <v>1838</v>
      </c>
      <c r="F89" s="715" t="s">
        <v>1766</v>
      </c>
      <c r="H89" s="723"/>
      <c r="J89" s="723"/>
      <c r="K89" s="712"/>
      <c r="L89" s="723"/>
      <c r="M89" s="712"/>
      <c r="N89" s="723"/>
      <c r="O89" s="712"/>
      <c r="R89" s="713" t="s">
        <v>1762</v>
      </c>
      <c r="T89" s="712">
        <v>0</v>
      </c>
      <c r="U89" s="712"/>
      <c r="V89" s="712">
        <f t="shared" si="67"/>
        <v>0</v>
      </c>
      <c r="W89" s="712"/>
      <c r="X89" s="712">
        <v>0</v>
      </c>
      <c r="Y89" s="712"/>
      <c r="Z89" s="712">
        <f t="shared" si="68"/>
        <v>0</v>
      </c>
      <c r="AA89" s="712"/>
      <c r="AB89" s="607" t="s">
        <v>1560</v>
      </c>
      <c r="AC89" s="712"/>
      <c r="AD89" s="712">
        <v>0</v>
      </c>
      <c r="AE89" s="712"/>
      <c r="AF89" s="723"/>
      <c r="AG89" s="712"/>
      <c r="AH89" s="712">
        <v>0</v>
      </c>
      <c r="AI89" s="712"/>
      <c r="AJ89" s="607" t="s">
        <v>1772</v>
      </c>
      <c r="AK89" s="712"/>
      <c r="AL89" s="605">
        <f t="shared" si="69"/>
        <v>0</v>
      </c>
      <c r="AM89" s="712"/>
      <c r="AN89" s="605">
        <f t="shared" si="69"/>
        <v>0</v>
      </c>
      <c r="AO89" s="712"/>
      <c r="AP89" s="605">
        <f t="shared" si="69"/>
        <v>0</v>
      </c>
      <c r="AQ89" s="712"/>
      <c r="AR89" s="712">
        <f t="shared" si="64"/>
        <v>0</v>
      </c>
      <c r="AT89" s="712">
        <v>0</v>
      </c>
      <c r="AU89" s="712"/>
      <c r="AV89" s="723"/>
      <c r="AW89" s="712"/>
      <c r="AX89" s="712">
        <v>0</v>
      </c>
      <c r="AY89" s="712"/>
      <c r="AZ89" s="605">
        <f t="shared" si="70"/>
        <v>0</v>
      </c>
      <c r="BA89" s="712"/>
      <c r="BB89" s="605">
        <f t="shared" si="71"/>
        <v>0</v>
      </c>
      <c r="BC89" s="712"/>
      <c r="BD89" s="605">
        <f t="shared" si="72"/>
        <v>0</v>
      </c>
      <c r="BE89" s="712"/>
      <c r="BF89" s="712">
        <f t="shared" si="65"/>
        <v>0</v>
      </c>
      <c r="BG89" s="712"/>
      <c r="BH89" s="712">
        <f t="shared" si="66"/>
        <v>0</v>
      </c>
      <c r="BJ89" s="590">
        <f t="shared" si="62"/>
        <v>447</v>
      </c>
    </row>
    <row r="90" spans="1:62">
      <c r="A90" s="590">
        <f t="shared" si="63"/>
        <v>448</v>
      </c>
      <c r="B90" s="729" t="s">
        <v>1839</v>
      </c>
      <c r="F90" s="715" t="s">
        <v>1766</v>
      </c>
      <c r="H90" s="723"/>
      <c r="J90" s="723"/>
      <c r="K90" s="712"/>
      <c r="L90" s="723"/>
      <c r="M90" s="712"/>
      <c r="N90" s="723"/>
      <c r="O90" s="712"/>
      <c r="R90" s="713" t="s">
        <v>1762</v>
      </c>
      <c r="T90" s="712">
        <v>0</v>
      </c>
      <c r="U90" s="712"/>
      <c r="V90" s="712">
        <f t="shared" si="67"/>
        <v>0</v>
      </c>
      <c r="W90" s="712"/>
      <c r="X90" s="712">
        <v>0</v>
      </c>
      <c r="Y90" s="712"/>
      <c r="Z90" s="712">
        <f t="shared" si="68"/>
        <v>0</v>
      </c>
      <c r="AA90" s="712"/>
      <c r="AB90" s="607" t="s">
        <v>1560</v>
      </c>
      <c r="AC90" s="712"/>
      <c r="AD90" s="712">
        <v>0</v>
      </c>
      <c r="AE90" s="712"/>
      <c r="AF90" s="723"/>
      <c r="AG90" s="712"/>
      <c r="AH90" s="712">
        <v>0</v>
      </c>
      <c r="AI90" s="712"/>
      <c r="AJ90" s="607" t="s">
        <v>1772</v>
      </c>
      <c r="AK90" s="712"/>
      <c r="AL90" s="605">
        <f t="shared" si="69"/>
        <v>0</v>
      </c>
      <c r="AM90" s="712"/>
      <c r="AN90" s="605">
        <f t="shared" si="69"/>
        <v>0</v>
      </c>
      <c r="AO90" s="712"/>
      <c r="AP90" s="605">
        <f t="shared" si="69"/>
        <v>0</v>
      </c>
      <c r="AQ90" s="712"/>
      <c r="AR90" s="712">
        <f t="shared" si="64"/>
        <v>0</v>
      </c>
      <c r="AT90" s="712">
        <v>0</v>
      </c>
      <c r="AU90" s="712"/>
      <c r="AV90" s="723"/>
      <c r="AW90" s="712"/>
      <c r="AX90" s="712">
        <v>0</v>
      </c>
      <c r="AY90" s="712"/>
      <c r="AZ90" s="605">
        <f t="shared" si="70"/>
        <v>0</v>
      </c>
      <c r="BA90" s="712"/>
      <c r="BB90" s="605">
        <f t="shared" si="71"/>
        <v>0</v>
      </c>
      <c r="BC90" s="712"/>
      <c r="BD90" s="605">
        <f t="shared" si="72"/>
        <v>0</v>
      </c>
      <c r="BE90" s="712"/>
      <c r="BF90" s="712">
        <f t="shared" si="65"/>
        <v>0</v>
      </c>
      <c r="BG90" s="712"/>
      <c r="BH90" s="712">
        <f t="shared" si="66"/>
        <v>0</v>
      </c>
      <c r="BJ90" s="590">
        <f t="shared" si="62"/>
        <v>448</v>
      </c>
    </row>
    <row r="91" spans="1:62">
      <c r="A91" s="590">
        <f t="shared" si="63"/>
        <v>449</v>
      </c>
      <c r="B91" s="729" t="s">
        <v>1840</v>
      </c>
      <c r="F91" s="715" t="s">
        <v>1766</v>
      </c>
      <c r="H91" s="723"/>
      <c r="J91" s="723"/>
      <c r="K91" s="712"/>
      <c r="L91" s="723"/>
      <c r="M91" s="712"/>
      <c r="N91" s="723"/>
      <c r="O91" s="712"/>
      <c r="R91" s="713" t="s">
        <v>1762</v>
      </c>
      <c r="T91" s="712">
        <v>0</v>
      </c>
      <c r="U91" s="712"/>
      <c r="V91" s="712">
        <f t="shared" si="67"/>
        <v>0</v>
      </c>
      <c r="W91" s="712"/>
      <c r="X91" s="712">
        <v>0</v>
      </c>
      <c r="Y91" s="712"/>
      <c r="Z91" s="712">
        <f t="shared" si="68"/>
        <v>0</v>
      </c>
      <c r="AA91" s="712"/>
      <c r="AB91" s="607" t="s">
        <v>1560</v>
      </c>
      <c r="AC91" s="712"/>
      <c r="AD91" s="712">
        <v>0</v>
      </c>
      <c r="AE91" s="712"/>
      <c r="AF91" s="723"/>
      <c r="AG91" s="712"/>
      <c r="AH91" s="712">
        <v>0</v>
      </c>
      <c r="AI91" s="712"/>
      <c r="AJ91" s="607" t="s">
        <v>1772</v>
      </c>
      <c r="AK91" s="712"/>
      <c r="AL91" s="605">
        <f t="shared" si="69"/>
        <v>0</v>
      </c>
      <c r="AM91" s="712"/>
      <c r="AN91" s="605">
        <f t="shared" si="69"/>
        <v>0</v>
      </c>
      <c r="AO91" s="712"/>
      <c r="AP91" s="605">
        <f t="shared" si="69"/>
        <v>0</v>
      </c>
      <c r="AQ91" s="712"/>
      <c r="AR91" s="712">
        <f t="shared" si="64"/>
        <v>0</v>
      </c>
      <c r="AT91" s="712">
        <v>0</v>
      </c>
      <c r="AU91" s="712"/>
      <c r="AV91" s="723"/>
      <c r="AW91" s="712"/>
      <c r="AX91" s="712">
        <v>0</v>
      </c>
      <c r="AY91" s="712"/>
      <c r="AZ91" s="605">
        <f t="shared" si="70"/>
        <v>0</v>
      </c>
      <c r="BA91" s="712"/>
      <c r="BB91" s="605">
        <f t="shared" si="71"/>
        <v>0</v>
      </c>
      <c r="BC91" s="712"/>
      <c r="BD91" s="605">
        <f t="shared" si="72"/>
        <v>0</v>
      </c>
      <c r="BE91" s="712"/>
      <c r="BF91" s="712">
        <f t="shared" si="65"/>
        <v>0</v>
      </c>
      <c r="BG91" s="712"/>
      <c r="BH91" s="712">
        <f t="shared" si="66"/>
        <v>0</v>
      </c>
      <c r="BJ91" s="590">
        <f t="shared" si="62"/>
        <v>449</v>
      </c>
    </row>
    <row r="92" spans="1:62">
      <c r="A92" s="590">
        <f t="shared" si="63"/>
        <v>450</v>
      </c>
      <c r="B92" s="729" t="s">
        <v>1841</v>
      </c>
      <c r="F92" s="715" t="s">
        <v>1766</v>
      </c>
      <c r="H92" s="723"/>
      <c r="J92" s="723"/>
      <c r="K92" s="712"/>
      <c r="L92" s="723"/>
      <c r="M92" s="712"/>
      <c r="N92" s="723"/>
      <c r="O92" s="712"/>
      <c r="R92" s="713" t="s">
        <v>1762</v>
      </c>
      <c r="T92" s="712">
        <v>0</v>
      </c>
      <c r="U92" s="712"/>
      <c r="V92" s="712">
        <f t="shared" si="67"/>
        <v>0</v>
      </c>
      <c r="W92" s="712"/>
      <c r="X92" s="712">
        <v>0</v>
      </c>
      <c r="Y92" s="712"/>
      <c r="Z92" s="712">
        <f t="shared" si="68"/>
        <v>0</v>
      </c>
      <c r="AA92" s="712"/>
      <c r="AB92" s="607" t="s">
        <v>1560</v>
      </c>
      <c r="AC92" s="712"/>
      <c r="AD92" s="712">
        <v>0</v>
      </c>
      <c r="AE92" s="712"/>
      <c r="AF92" s="723"/>
      <c r="AG92" s="712"/>
      <c r="AH92" s="712">
        <v>0</v>
      </c>
      <c r="AI92" s="712"/>
      <c r="AJ92" s="607" t="s">
        <v>1772</v>
      </c>
      <c r="AK92" s="712"/>
      <c r="AL92" s="605">
        <f t="shared" si="69"/>
        <v>0</v>
      </c>
      <c r="AM92" s="712"/>
      <c r="AN92" s="605">
        <f t="shared" si="69"/>
        <v>0</v>
      </c>
      <c r="AO92" s="712"/>
      <c r="AP92" s="605">
        <f t="shared" si="69"/>
        <v>0</v>
      </c>
      <c r="AQ92" s="712"/>
      <c r="AR92" s="712">
        <f t="shared" si="64"/>
        <v>0</v>
      </c>
      <c r="AT92" s="712">
        <v>0</v>
      </c>
      <c r="AU92" s="712"/>
      <c r="AV92" s="723"/>
      <c r="AW92" s="712"/>
      <c r="AX92" s="712">
        <v>0</v>
      </c>
      <c r="AY92" s="712"/>
      <c r="AZ92" s="605">
        <f t="shared" si="70"/>
        <v>0</v>
      </c>
      <c r="BA92" s="712"/>
      <c r="BB92" s="605">
        <f t="shared" si="71"/>
        <v>0</v>
      </c>
      <c r="BC92" s="712"/>
      <c r="BD92" s="605">
        <f t="shared" si="72"/>
        <v>0</v>
      </c>
      <c r="BE92" s="712"/>
      <c r="BF92" s="712">
        <f t="shared" si="65"/>
        <v>0</v>
      </c>
      <c r="BG92" s="712"/>
      <c r="BH92" s="712">
        <f t="shared" si="66"/>
        <v>0</v>
      </c>
      <c r="BJ92" s="590">
        <f t="shared" si="62"/>
        <v>450</v>
      </c>
    </row>
    <row r="93" spans="1:62">
      <c r="A93" s="590">
        <f t="shared" si="63"/>
        <v>451</v>
      </c>
      <c r="B93" s="729" t="s">
        <v>1842</v>
      </c>
      <c r="F93" s="715" t="s">
        <v>1766</v>
      </c>
      <c r="H93" s="723"/>
      <c r="J93" s="723"/>
      <c r="K93" s="712"/>
      <c r="L93" s="723"/>
      <c r="M93" s="712"/>
      <c r="N93" s="723"/>
      <c r="O93" s="712"/>
      <c r="R93" s="713" t="s">
        <v>1762</v>
      </c>
      <c r="T93" s="712">
        <v>0</v>
      </c>
      <c r="U93" s="712"/>
      <c r="V93" s="712">
        <f t="shared" si="67"/>
        <v>0</v>
      </c>
      <c r="W93" s="712"/>
      <c r="X93" s="712">
        <v>0</v>
      </c>
      <c r="Y93" s="712"/>
      <c r="Z93" s="712">
        <f t="shared" si="68"/>
        <v>0</v>
      </c>
      <c r="AA93" s="712"/>
      <c r="AB93" s="607" t="s">
        <v>1560</v>
      </c>
      <c r="AC93" s="712"/>
      <c r="AD93" s="712">
        <v>0</v>
      </c>
      <c r="AE93" s="712"/>
      <c r="AF93" s="723"/>
      <c r="AG93" s="712"/>
      <c r="AH93" s="712">
        <v>0</v>
      </c>
      <c r="AI93" s="712"/>
      <c r="AJ93" s="607" t="s">
        <v>1772</v>
      </c>
      <c r="AK93" s="712"/>
      <c r="AL93" s="605">
        <f t="shared" si="69"/>
        <v>0</v>
      </c>
      <c r="AM93" s="712"/>
      <c r="AN93" s="605">
        <f t="shared" si="69"/>
        <v>0</v>
      </c>
      <c r="AO93" s="712"/>
      <c r="AP93" s="605">
        <f t="shared" si="69"/>
        <v>0</v>
      </c>
      <c r="AQ93" s="712"/>
      <c r="AR93" s="712">
        <f t="shared" si="64"/>
        <v>0</v>
      </c>
      <c r="AT93" s="712">
        <v>0</v>
      </c>
      <c r="AU93" s="712"/>
      <c r="AV93" s="723"/>
      <c r="AW93" s="712"/>
      <c r="AX93" s="712">
        <v>0</v>
      </c>
      <c r="AY93" s="712"/>
      <c r="AZ93" s="605">
        <f t="shared" si="70"/>
        <v>0</v>
      </c>
      <c r="BA93" s="712"/>
      <c r="BB93" s="605">
        <f t="shared" si="71"/>
        <v>0</v>
      </c>
      <c r="BC93" s="712"/>
      <c r="BD93" s="605">
        <f t="shared" si="72"/>
        <v>0</v>
      </c>
      <c r="BE93" s="712"/>
      <c r="BF93" s="712">
        <f t="shared" si="65"/>
        <v>0</v>
      </c>
      <c r="BG93" s="712"/>
      <c r="BH93" s="712">
        <f t="shared" si="66"/>
        <v>0</v>
      </c>
      <c r="BJ93" s="590">
        <f t="shared" si="62"/>
        <v>451</v>
      </c>
    </row>
    <row r="94" spans="1:62">
      <c r="A94" s="590">
        <f t="shared" si="63"/>
        <v>452</v>
      </c>
      <c r="B94" s="729" t="s">
        <v>1843</v>
      </c>
      <c r="F94" s="715" t="s">
        <v>1766</v>
      </c>
      <c r="H94" s="723"/>
      <c r="J94" s="723"/>
      <c r="K94" s="712"/>
      <c r="L94" s="723"/>
      <c r="M94" s="712"/>
      <c r="N94" s="723"/>
      <c r="O94" s="712"/>
      <c r="R94" s="713" t="s">
        <v>1762</v>
      </c>
      <c r="T94" s="712">
        <v>0</v>
      </c>
      <c r="U94" s="712"/>
      <c r="V94" s="712">
        <f t="shared" si="67"/>
        <v>0</v>
      </c>
      <c r="W94" s="712"/>
      <c r="X94" s="712">
        <v>0</v>
      </c>
      <c r="Y94" s="712"/>
      <c r="Z94" s="712">
        <f t="shared" si="68"/>
        <v>0</v>
      </c>
      <c r="AA94" s="712"/>
      <c r="AB94" s="607" t="s">
        <v>1560</v>
      </c>
      <c r="AC94" s="712"/>
      <c r="AD94" s="712">
        <v>0</v>
      </c>
      <c r="AE94" s="712"/>
      <c r="AF94" s="723"/>
      <c r="AG94" s="712"/>
      <c r="AH94" s="712">
        <v>0</v>
      </c>
      <c r="AI94" s="712"/>
      <c r="AJ94" s="607" t="s">
        <v>1772</v>
      </c>
      <c r="AK94" s="712"/>
      <c r="AL94" s="605">
        <f t="shared" si="69"/>
        <v>0</v>
      </c>
      <c r="AM94" s="712"/>
      <c r="AN94" s="605">
        <f t="shared" si="69"/>
        <v>0</v>
      </c>
      <c r="AO94" s="712"/>
      <c r="AP94" s="605">
        <f t="shared" si="69"/>
        <v>0</v>
      </c>
      <c r="AQ94" s="712"/>
      <c r="AR94" s="712">
        <f t="shared" si="64"/>
        <v>0</v>
      </c>
      <c r="AT94" s="712">
        <v>0</v>
      </c>
      <c r="AU94" s="712"/>
      <c r="AV94" s="723"/>
      <c r="AW94" s="712"/>
      <c r="AX94" s="712">
        <v>0</v>
      </c>
      <c r="AY94" s="712"/>
      <c r="AZ94" s="605">
        <f t="shared" si="70"/>
        <v>0</v>
      </c>
      <c r="BA94" s="712"/>
      <c r="BB94" s="605">
        <f t="shared" si="71"/>
        <v>0</v>
      </c>
      <c r="BC94" s="712"/>
      <c r="BD94" s="605">
        <f t="shared" si="72"/>
        <v>0</v>
      </c>
      <c r="BE94" s="712"/>
      <c r="BF94" s="712">
        <f t="shared" si="65"/>
        <v>0</v>
      </c>
      <c r="BG94" s="712"/>
      <c r="BH94" s="712">
        <f t="shared" si="66"/>
        <v>0</v>
      </c>
      <c r="BJ94" s="590">
        <f t="shared" si="62"/>
        <v>452</v>
      </c>
    </row>
    <row r="95" spans="1:62">
      <c r="A95" s="590">
        <f t="shared" si="63"/>
        <v>453</v>
      </c>
      <c r="B95" s="729" t="s">
        <v>1844</v>
      </c>
      <c r="F95" s="715" t="s">
        <v>1766</v>
      </c>
      <c r="H95" s="723"/>
      <c r="J95" s="723"/>
      <c r="K95" s="712"/>
      <c r="L95" s="723"/>
      <c r="M95" s="712"/>
      <c r="N95" s="723"/>
      <c r="O95" s="712"/>
      <c r="R95" s="713" t="s">
        <v>1762</v>
      </c>
      <c r="T95" s="712">
        <v>0</v>
      </c>
      <c r="U95" s="712"/>
      <c r="V95" s="712">
        <f t="shared" si="67"/>
        <v>0</v>
      </c>
      <c r="W95" s="712"/>
      <c r="X95" s="712">
        <v>0</v>
      </c>
      <c r="Y95" s="712"/>
      <c r="Z95" s="712">
        <f t="shared" si="68"/>
        <v>0</v>
      </c>
      <c r="AA95" s="712"/>
      <c r="AB95" s="607" t="s">
        <v>1560</v>
      </c>
      <c r="AC95" s="712"/>
      <c r="AD95" s="712">
        <v>0</v>
      </c>
      <c r="AE95" s="712"/>
      <c r="AF95" s="723"/>
      <c r="AG95" s="712"/>
      <c r="AH95" s="712">
        <v>0</v>
      </c>
      <c r="AI95" s="712"/>
      <c r="AJ95" s="607" t="s">
        <v>1772</v>
      </c>
      <c r="AK95" s="712"/>
      <c r="AL95" s="605">
        <f t="shared" si="69"/>
        <v>0</v>
      </c>
      <c r="AM95" s="712"/>
      <c r="AN95" s="605">
        <f t="shared" si="69"/>
        <v>0</v>
      </c>
      <c r="AO95" s="712"/>
      <c r="AP95" s="605">
        <f t="shared" si="69"/>
        <v>0</v>
      </c>
      <c r="AQ95" s="712"/>
      <c r="AR95" s="712">
        <f t="shared" si="64"/>
        <v>0</v>
      </c>
      <c r="AT95" s="712">
        <v>0</v>
      </c>
      <c r="AU95" s="712"/>
      <c r="AV95" s="723"/>
      <c r="AW95" s="712"/>
      <c r="AX95" s="712">
        <v>0</v>
      </c>
      <c r="AY95" s="712"/>
      <c r="AZ95" s="605">
        <f t="shared" si="70"/>
        <v>0</v>
      </c>
      <c r="BA95" s="712"/>
      <c r="BB95" s="605">
        <f t="shared" si="71"/>
        <v>0</v>
      </c>
      <c r="BC95" s="712"/>
      <c r="BD95" s="605">
        <f t="shared" si="72"/>
        <v>0</v>
      </c>
      <c r="BE95" s="712"/>
      <c r="BF95" s="712">
        <f t="shared" si="65"/>
        <v>0</v>
      </c>
      <c r="BG95" s="712"/>
      <c r="BH95" s="712">
        <f t="shared" si="66"/>
        <v>0</v>
      </c>
      <c r="BJ95" s="590">
        <f t="shared" si="62"/>
        <v>453</v>
      </c>
    </row>
    <row r="96" spans="1:62">
      <c r="A96" s="590">
        <f t="shared" si="63"/>
        <v>454</v>
      </c>
      <c r="B96" s="729" t="s">
        <v>1845</v>
      </c>
      <c r="F96" s="715" t="s">
        <v>1766</v>
      </c>
      <c r="H96" s="723"/>
      <c r="J96" s="723"/>
      <c r="K96" s="712"/>
      <c r="L96" s="723"/>
      <c r="M96" s="712"/>
      <c r="N96" s="723"/>
      <c r="O96" s="712"/>
      <c r="R96" s="713" t="s">
        <v>1762</v>
      </c>
      <c r="T96" s="712">
        <v>0</v>
      </c>
      <c r="U96" s="712"/>
      <c r="V96" s="712">
        <f t="shared" si="67"/>
        <v>0</v>
      </c>
      <c r="W96" s="712"/>
      <c r="X96" s="712">
        <v>0</v>
      </c>
      <c r="Y96" s="712"/>
      <c r="Z96" s="712">
        <f t="shared" si="68"/>
        <v>0</v>
      </c>
      <c r="AA96" s="712"/>
      <c r="AB96" s="607" t="s">
        <v>1560</v>
      </c>
      <c r="AC96" s="712"/>
      <c r="AD96" s="712">
        <v>0</v>
      </c>
      <c r="AE96" s="712"/>
      <c r="AF96" s="723"/>
      <c r="AG96" s="712"/>
      <c r="AH96" s="712">
        <v>0</v>
      </c>
      <c r="AI96" s="712"/>
      <c r="AJ96" s="607" t="s">
        <v>1772</v>
      </c>
      <c r="AK96" s="712"/>
      <c r="AL96" s="605">
        <f t="shared" si="69"/>
        <v>0</v>
      </c>
      <c r="AM96" s="712"/>
      <c r="AN96" s="605">
        <f t="shared" si="69"/>
        <v>0</v>
      </c>
      <c r="AO96" s="712"/>
      <c r="AP96" s="605">
        <f t="shared" si="69"/>
        <v>0</v>
      </c>
      <c r="AQ96" s="712"/>
      <c r="AR96" s="712">
        <f t="shared" si="64"/>
        <v>0</v>
      </c>
      <c r="AT96" s="712">
        <v>0</v>
      </c>
      <c r="AU96" s="712"/>
      <c r="AV96" s="723"/>
      <c r="AW96" s="712"/>
      <c r="AX96" s="712">
        <v>0</v>
      </c>
      <c r="AY96" s="712"/>
      <c r="AZ96" s="605">
        <f t="shared" si="70"/>
        <v>0</v>
      </c>
      <c r="BA96" s="712"/>
      <c r="BB96" s="605">
        <f t="shared" si="71"/>
        <v>0</v>
      </c>
      <c r="BC96" s="712"/>
      <c r="BD96" s="605">
        <f t="shared" si="72"/>
        <v>0</v>
      </c>
      <c r="BE96" s="712"/>
      <c r="BF96" s="712">
        <f t="shared" si="65"/>
        <v>0</v>
      </c>
      <c r="BG96" s="712"/>
      <c r="BH96" s="712">
        <f t="shared" si="66"/>
        <v>0</v>
      </c>
      <c r="BJ96" s="590">
        <f t="shared" si="62"/>
        <v>454</v>
      </c>
    </row>
    <row r="97" spans="1:62">
      <c r="A97" s="590">
        <f t="shared" si="63"/>
        <v>455</v>
      </c>
      <c r="B97" s="729" t="s">
        <v>1846</v>
      </c>
      <c r="F97" s="715" t="s">
        <v>1766</v>
      </c>
      <c r="H97" s="723"/>
      <c r="J97" s="723"/>
      <c r="K97" s="712"/>
      <c r="L97" s="723"/>
      <c r="M97" s="712"/>
      <c r="N97" s="723"/>
      <c r="O97" s="712"/>
      <c r="R97" s="713" t="s">
        <v>1762</v>
      </c>
      <c r="T97" s="712">
        <v>0</v>
      </c>
      <c r="U97" s="712"/>
      <c r="V97" s="712">
        <f t="shared" si="67"/>
        <v>0</v>
      </c>
      <c r="W97" s="712"/>
      <c r="X97" s="712">
        <v>0</v>
      </c>
      <c r="Y97" s="712"/>
      <c r="Z97" s="712">
        <f t="shared" si="68"/>
        <v>0</v>
      </c>
      <c r="AA97" s="712"/>
      <c r="AB97" s="607" t="s">
        <v>1560</v>
      </c>
      <c r="AC97" s="712"/>
      <c r="AD97" s="712">
        <v>0</v>
      </c>
      <c r="AE97" s="712"/>
      <c r="AF97" s="723"/>
      <c r="AG97" s="712"/>
      <c r="AH97" s="712">
        <v>0</v>
      </c>
      <c r="AI97" s="712"/>
      <c r="AJ97" s="607" t="s">
        <v>1772</v>
      </c>
      <c r="AK97" s="712"/>
      <c r="AL97" s="605">
        <f t="shared" si="69"/>
        <v>0</v>
      </c>
      <c r="AM97" s="712"/>
      <c r="AN97" s="605">
        <f t="shared" si="69"/>
        <v>0</v>
      </c>
      <c r="AO97" s="712"/>
      <c r="AP97" s="605">
        <f t="shared" si="69"/>
        <v>0</v>
      </c>
      <c r="AQ97" s="712"/>
      <c r="AR97" s="712">
        <f t="shared" si="64"/>
        <v>0</v>
      </c>
      <c r="AT97" s="712">
        <v>0</v>
      </c>
      <c r="AU97" s="712"/>
      <c r="AV97" s="723"/>
      <c r="AW97" s="712"/>
      <c r="AX97" s="712">
        <v>0</v>
      </c>
      <c r="AY97" s="712"/>
      <c r="AZ97" s="605">
        <f t="shared" si="70"/>
        <v>0</v>
      </c>
      <c r="BA97" s="712"/>
      <c r="BB97" s="605">
        <f t="shared" si="71"/>
        <v>0</v>
      </c>
      <c r="BC97" s="712"/>
      <c r="BD97" s="605">
        <f t="shared" si="72"/>
        <v>0</v>
      </c>
      <c r="BE97" s="712"/>
      <c r="BF97" s="712">
        <f t="shared" si="65"/>
        <v>0</v>
      </c>
      <c r="BG97" s="712"/>
      <c r="BH97" s="712">
        <f t="shared" si="66"/>
        <v>0</v>
      </c>
      <c r="BJ97" s="590">
        <f t="shared" si="62"/>
        <v>455</v>
      </c>
    </row>
    <row r="98" spans="1:62">
      <c r="A98" s="590">
        <f t="shared" si="63"/>
        <v>456</v>
      </c>
      <c r="B98" s="730" t="s">
        <v>640</v>
      </c>
      <c r="H98" s="723"/>
      <c r="J98" s="723"/>
      <c r="K98" s="712"/>
      <c r="L98" s="723"/>
      <c r="M98" s="712"/>
      <c r="N98" s="723"/>
      <c r="O98" s="712"/>
      <c r="R98" s="714"/>
      <c r="T98" s="712">
        <v>0</v>
      </c>
      <c r="U98" s="712"/>
      <c r="V98" s="712">
        <f t="shared" si="67"/>
        <v>0</v>
      </c>
      <c r="W98" s="712"/>
      <c r="X98" s="712">
        <v>0</v>
      </c>
      <c r="Y98" s="712"/>
      <c r="Z98" s="712">
        <f t="shared" si="68"/>
        <v>0</v>
      </c>
      <c r="AA98" s="712"/>
      <c r="AB98" s="607"/>
      <c r="AC98" s="712"/>
      <c r="AD98" s="712">
        <v>0</v>
      </c>
      <c r="AE98" s="712"/>
      <c r="AF98" s="723"/>
      <c r="AG98" s="712"/>
      <c r="AH98" s="712">
        <v>0</v>
      </c>
      <c r="AI98" s="712"/>
      <c r="AJ98" s="712"/>
      <c r="AK98" s="712"/>
      <c r="AL98" s="605">
        <f t="shared" si="69"/>
        <v>0</v>
      </c>
      <c r="AM98" s="712"/>
      <c r="AN98" s="605">
        <f t="shared" si="69"/>
        <v>0</v>
      </c>
      <c r="AO98" s="712"/>
      <c r="AP98" s="605">
        <f t="shared" si="69"/>
        <v>0</v>
      </c>
      <c r="AQ98" s="712"/>
      <c r="AR98" s="712">
        <f t="shared" si="64"/>
        <v>0</v>
      </c>
      <c r="AT98" s="712">
        <v>0</v>
      </c>
      <c r="AU98" s="712"/>
      <c r="AV98" s="723"/>
      <c r="AW98" s="712"/>
      <c r="AX98" s="712">
        <v>0</v>
      </c>
      <c r="AY98" s="712"/>
      <c r="AZ98" s="605">
        <f t="shared" si="70"/>
        <v>0</v>
      </c>
      <c r="BA98" s="712"/>
      <c r="BB98" s="605">
        <f t="shared" si="71"/>
        <v>0</v>
      </c>
      <c r="BC98" s="712"/>
      <c r="BD98" s="605">
        <f t="shared" si="72"/>
        <v>0</v>
      </c>
      <c r="BE98" s="712"/>
      <c r="BF98" s="712">
        <f t="shared" si="65"/>
        <v>0</v>
      </c>
      <c r="BG98" s="712"/>
      <c r="BH98" s="712">
        <f t="shared" si="66"/>
        <v>0</v>
      </c>
      <c r="BJ98" s="590">
        <f t="shared" si="62"/>
        <v>456</v>
      </c>
    </row>
    <row r="99" spans="1:62">
      <c r="A99" s="590">
        <f t="shared" si="63"/>
        <v>457</v>
      </c>
      <c r="B99" s="730" t="s">
        <v>640</v>
      </c>
      <c r="H99" s="723"/>
      <c r="J99" s="723"/>
      <c r="K99" s="712"/>
      <c r="L99" s="723"/>
      <c r="M99" s="712"/>
      <c r="N99" s="723"/>
      <c r="O99" s="712"/>
      <c r="R99" s="714"/>
      <c r="T99" s="712">
        <v>0</v>
      </c>
      <c r="U99" s="712"/>
      <c r="V99" s="712">
        <f t="shared" si="67"/>
        <v>0</v>
      </c>
      <c r="W99" s="712"/>
      <c r="X99" s="712">
        <v>0</v>
      </c>
      <c r="Y99" s="712"/>
      <c r="Z99" s="712">
        <f t="shared" si="68"/>
        <v>0</v>
      </c>
      <c r="AA99" s="712"/>
      <c r="AB99" s="607"/>
      <c r="AC99" s="712"/>
      <c r="AD99" s="712">
        <v>0</v>
      </c>
      <c r="AE99" s="712"/>
      <c r="AF99" s="723"/>
      <c r="AG99" s="712"/>
      <c r="AH99" s="712">
        <v>0</v>
      </c>
      <c r="AI99" s="712"/>
      <c r="AJ99" s="712"/>
      <c r="AK99" s="712"/>
      <c r="AL99" s="605">
        <f t="shared" si="69"/>
        <v>0</v>
      </c>
      <c r="AM99" s="712"/>
      <c r="AN99" s="605">
        <f t="shared" si="69"/>
        <v>0</v>
      </c>
      <c r="AO99" s="712"/>
      <c r="AP99" s="605">
        <f t="shared" si="69"/>
        <v>0</v>
      </c>
      <c r="AQ99" s="712"/>
      <c r="AR99" s="712">
        <f t="shared" si="64"/>
        <v>0</v>
      </c>
      <c r="AT99" s="712">
        <v>0</v>
      </c>
      <c r="AU99" s="712"/>
      <c r="AV99" s="723"/>
      <c r="AW99" s="712"/>
      <c r="AX99" s="712">
        <v>0</v>
      </c>
      <c r="AY99" s="712"/>
      <c r="AZ99" s="605">
        <f t="shared" si="70"/>
        <v>0</v>
      </c>
      <c r="BA99" s="712"/>
      <c r="BB99" s="605">
        <f t="shared" si="71"/>
        <v>0</v>
      </c>
      <c r="BC99" s="712"/>
      <c r="BD99" s="605">
        <f t="shared" si="72"/>
        <v>0</v>
      </c>
      <c r="BE99" s="712"/>
      <c r="BF99" s="712">
        <f t="shared" si="65"/>
        <v>0</v>
      </c>
      <c r="BG99" s="712"/>
      <c r="BH99" s="712">
        <f t="shared" si="66"/>
        <v>0</v>
      </c>
      <c r="BJ99" s="590">
        <f t="shared" si="62"/>
        <v>457</v>
      </c>
    </row>
    <row r="100" spans="1:62">
      <c r="A100" s="590"/>
      <c r="B100" s="706"/>
      <c r="H100" s="712"/>
      <c r="J100" s="712"/>
      <c r="K100" s="712"/>
      <c r="L100" s="712"/>
      <c r="M100" s="712"/>
      <c r="N100" s="712"/>
      <c r="O100" s="712"/>
      <c r="R100" s="714"/>
      <c r="T100" s="712"/>
      <c r="U100" s="712"/>
      <c r="V100" s="712"/>
      <c r="W100" s="712"/>
      <c r="X100" s="712"/>
      <c r="Y100" s="712"/>
      <c r="Z100" s="712"/>
      <c r="AA100" s="712"/>
      <c r="AB100" s="607"/>
      <c r="AC100" s="712"/>
      <c r="AD100" s="712"/>
      <c r="AE100" s="712"/>
      <c r="AF100" s="712"/>
      <c r="AG100" s="712"/>
      <c r="AH100" s="712"/>
      <c r="AI100" s="712"/>
      <c r="AJ100" s="712"/>
      <c r="AK100" s="712"/>
      <c r="AL100" s="712"/>
      <c r="AM100" s="712"/>
      <c r="AN100" s="712"/>
      <c r="AO100" s="712"/>
      <c r="AP100" s="712"/>
      <c r="AQ100" s="712"/>
      <c r="AR100" s="712"/>
      <c r="AT100" s="712"/>
      <c r="AU100" s="712"/>
      <c r="AV100" s="712"/>
      <c r="AW100" s="712"/>
      <c r="AX100" s="712"/>
      <c r="AY100" s="712"/>
      <c r="AZ100" s="712"/>
      <c r="BA100" s="712"/>
      <c r="BB100" s="712"/>
      <c r="BC100" s="712"/>
      <c r="BD100" s="712"/>
      <c r="BE100" s="712"/>
      <c r="BF100" s="712"/>
      <c r="BG100" s="712"/>
      <c r="BH100" s="712"/>
      <c r="BJ100" s="590"/>
    </row>
    <row r="101" spans="1:62">
      <c r="A101" s="323" t="s">
        <v>124</v>
      </c>
      <c r="R101" s="714"/>
      <c r="Z101" s="712"/>
      <c r="AB101" s="715"/>
      <c r="BJ101" s="726" t="s">
        <v>124</v>
      </c>
    </row>
    <row r="102" spans="1:62">
      <c r="A102" s="590">
        <v>500</v>
      </c>
      <c r="B102" s="702" t="s">
        <v>1570</v>
      </c>
      <c r="H102" s="721">
        <f>ROUND(SUM(H103:H112),0)</f>
        <v>0</v>
      </c>
      <c r="J102" s="721">
        <f>ROUND(SUM(J103:J112),0)</f>
        <v>0</v>
      </c>
      <c r="K102" s="712"/>
      <c r="L102" s="721">
        <f>ROUND(SUM(L103:L112),0)</f>
        <v>0</v>
      </c>
      <c r="M102" s="712"/>
      <c r="N102" s="721">
        <f>ROUND(SUM(N103:N112),0)</f>
        <v>0</v>
      </c>
      <c r="O102" s="712"/>
      <c r="Q102" s="590"/>
      <c r="R102" s="714"/>
      <c r="S102" s="590"/>
      <c r="T102" s="721">
        <f>ROUND(SUM(T103:T112),0)</f>
        <v>0</v>
      </c>
      <c r="U102" s="712"/>
      <c r="V102" s="721">
        <f>ROUND(SUM(V103:V112),0)</f>
        <v>0</v>
      </c>
      <c r="W102" s="712"/>
      <c r="X102" s="721">
        <f>ROUND(SUM(X103:X112),0)</f>
        <v>0</v>
      </c>
      <c r="Y102" s="712"/>
      <c r="Z102" s="721">
        <f>ROUND(SUM(Z103:Z112),0)</f>
        <v>0</v>
      </c>
      <c r="AA102" s="712"/>
      <c r="AB102" s="607"/>
      <c r="AC102" s="712"/>
      <c r="AD102" s="721">
        <f>SUM(AD103:AD112)</f>
        <v>0</v>
      </c>
      <c r="AE102" s="712"/>
      <c r="AF102" s="721">
        <f>SUM(AF103:AF112)</f>
        <v>0</v>
      </c>
      <c r="AG102" s="712"/>
      <c r="AH102" s="721">
        <f>SUM(AH103:AH112)</f>
        <v>0</v>
      </c>
      <c r="AI102" s="712"/>
      <c r="AJ102" s="712"/>
      <c r="AK102" s="712"/>
      <c r="AL102" s="721">
        <f>SUM(AL103:AL112)</f>
        <v>0</v>
      </c>
      <c r="AM102" s="712"/>
      <c r="AN102" s="721">
        <f>SUM(AN103:AN112)</f>
        <v>0</v>
      </c>
      <c r="AO102" s="712"/>
      <c r="AP102" s="721">
        <f>SUM(AP103:AP112)</f>
        <v>0</v>
      </c>
      <c r="AQ102" s="712"/>
      <c r="AR102" s="721">
        <f>SUM(AR103:AR112)</f>
        <v>0</v>
      </c>
      <c r="AT102" s="721">
        <f>SUM(AT103:AT112)</f>
        <v>0</v>
      </c>
      <c r="AU102" s="712"/>
      <c r="AV102" s="721">
        <f>SUM(AV103:AV112)</f>
        <v>0</v>
      </c>
      <c r="AW102" s="712"/>
      <c r="AX102" s="721">
        <f>SUM(AX103:AX112)</f>
        <v>0</v>
      </c>
      <c r="AY102" s="712"/>
      <c r="AZ102" s="721">
        <f>SUM(AZ103:AZ112)</f>
        <v>0</v>
      </c>
      <c r="BA102" s="712"/>
      <c r="BB102" s="721">
        <f>SUM(BB103:BB112)</f>
        <v>0</v>
      </c>
      <c r="BC102" s="712"/>
      <c r="BD102" s="721">
        <f>SUM(BD103:BD112)</f>
        <v>0</v>
      </c>
      <c r="BE102" s="712"/>
      <c r="BF102" s="721">
        <f>SUM(BF103:BF112)</f>
        <v>0</v>
      </c>
      <c r="BG102" s="712"/>
      <c r="BH102" s="721">
        <f>ROUND(SUM(BH103:BH112),0)</f>
        <v>0</v>
      </c>
      <c r="BJ102" s="590">
        <f t="shared" ref="BJ102:BJ112" si="73">A102</f>
        <v>500</v>
      </c>
    </row>
    <row r="103" spans="1:62">
      <c r="A103" s="590">
        <f t="shared" ref="A103:A106" si="74">A102+1</f>
        <v>501</v>
      </c>
      <c r="B103" s="634" t="s">
        <v>1847</v>
      </c>
      <c r="F103" s="706" t="s">
        <v>1768</v>
      </c>
      <c r="H103" s="723"/>
      <c r="J103" s="723"/>
      <c r="K103" s="712"/>
      <c r="L103" s="723"/>
      <c r="M103" s="712"/>
      <c r="N103" s="723"/>
      <c r="O103" s="712"/>
      <c r="R103" s="713" t="s">
        <v>1763</v>
      </c>
      <c r="T103" s="712">
        <v>0</v>
      </c>
      <c r="U103" s="712"/>
      <c r="V103" s="712">
        <v>0</v>
      </c>
      <c r="W103" s="712"/>
      <c r="X103" s="712">
        <f>+N103</f>
        <v>0</v>
      </c>
      <c r="Y103" s="712"/>
      <c r="Z103" s="712">
        <f t="shared" si="68"/>
        <v>0</v>
      </c>
      <c r="AA103" s="712"/>
      <c r="AB103" s="607" t="s">
        <v>1771</v>
      </c>
      <c r="AC103" s="712"/>
      <c r="AD103" s="712">
        <v>0</v>
      </c>
      <c r="AE103" s="712"/>
      <c r="AF103" s="712">
        <v>0</v>
      </c>
      <c r="AG103" s="712"/>
      <c r="AH103" s="723"/>
      <c r="AI103" s="712"/>
      <c r="AJ103" s="607" t="s">
        <v>1773</v>
      </c>
      <c r="AK103" s="712"/>
      <c r="AL103" s="605">
        <f>+T103-AD103</f>
        <v>0</v>
      </c>
      <c r="AM103" s="712"/>
      <c r="AN103" s="605">
        <f>+V103-AF103</f>
        <v>0</v>
      </c>
      <c r="AO103" s="712"/>
      <c r="AP103" s="605">
        <f>+X103-AH103</f>
        <v>0</v>
      </c>
      <c r="AQ103" s="712"/>
      <c r="AR103" s="712">
        <f t="shared" ref="AR103:AR112" si="75">SUM(AL103:AP103)</f>
        <v>0</v>
      </c>
      <c r="AT103" s="712">
        <v>0</v>
      </c>
      <c r="AU103" s="712"/>
      <c r="AV103" s="712">
        <v>0</v>
      </c>
      <c r="AW103" s="712"/>
      <c r="AX103" s="723"/>
      <c r="AY103" s="712"/>
      <c r="AZ103" s="605">
        <f>+AL103-AT103</f>
        <v>0</v>
      </c>
      <c r="BA103" s="712"/>
      <c r="BB103" s="605">
        <f>+AN103-AV103</f>
        <v>0</v>
      </c>
      <c r="BC103" s="712"/>
      <c r="BD103" s="605">
        <f>+AP103-AX103</f>
        <v>0</v>
      </c>
      <c r="BE103" s="712"/>
      <c r="BF103" s="712">
        <f>SUM(AZ103:BD103)</f>
        <v>0</v>
      </c>
      <c r="BG103" s="712"/>
      <c r="BH103" s="712">
        <f t="shared" ref="BH103:BH110" si="76">+BF103*$BH$9</f>
        <v>0</v>
      </c>
      <c r="BJ103" s="590">
        <f t="shared" si="73"/>
        <v>501</v>
      </c>
    </row>
    <row r="104" spans="1:62">
      <c r="A104" s="590">
        <f t="shared" si="74"/>
        <v>502</v>
      </c>
      <c r="B104" s="634" t="s">
        <v>1848</v>
      </c>
      <c r="F104" s="706" t="s">
        <v>1768</v>
      </c>
      <c r="H104" s="723"/>
      <c r="J104" s="723"/>
      <c r="K104" s="712"/>
      <c r="L104" s="723"/>
      <c r="M104" s="712"/>
      <c r="N104" s="723"/>
      <c r="O104" s="712"/>
      <c r="R104" s="713" t="s">
        <v>1763</v>
      </c>
      <c r="T104" s="712">
        <v>0</v>
      </c>
      <c r="U104" s="712"/>
      <c r="V104" s="712">
        <v>0</v>
      </c>
      <c r="W104" s="712"/>
      <c r="X104" s="712">
        <f>+N104</f>
        <v>0</v>
      </c>
      <c r="Y104" s="712"/>
      <c r="Z104" s="712">
        <f t="shared" si="68"/>
        <v>0</v>
      </c>
      <c r="AA104" s="712"/>
      <c r="AB104" s="607" t="s">
        <v>1771</v>
      </c>
      <c r="AC104" s="712"/>
      <c r="AD104" s="712">
        <v>0</v>
      </c>
      <c r="AE104" s="712"/>
      <c r="AF104" s="712">
        <v>0</v>
      </c>
      <c r="AG104" s="712"/>
      <c r="AH104" s="723"/>
      <c r="AI104" s="712"/>
      <c r="AJ104" s="607" t="s">
        <v>1773</v>
      </c>
      <c r="AK104" s="712"/>
      <c r="AL104" s="605">
        <f t="shared" ref="AL104:AP112" si="77">+T104-AD104</f>
        <v>0</v>
      </c>
      <c r="AM104" s="712"/>
      <c r="AN104" s="605">
        <f t="shared" si="77"/>
        <v>0</v>
      </c>
      <c r="AO104" s="712"/>
      <c r="AP104" s="605">
        <f t="shared" si="77"/>
        <v>0</v>
      </c>
      <c r="AQ104" s="712"/>
      <c r="AR104" s="712">
        <f t="shared" si="75"/>
        <v>0</v>
      </c>
      <c r="AT104" s="712">
        <v>0</v>
      </c>
      <c r="AU104" s="712"/>
      <c r="AV104" s="712">
        <v>0</v>
      </c>
      <c r="AW104" s="712"/>
      <c r="AX104" s="723"/>
      <c r="AY104" s="712"/>
      <c r="AZ104" s="605">
        <f t="shared" ref="AZ104:BD112" si="78">+AL104-AT104</f>
        <v>0</v>
      </c>
      <c r="BA104" s="712"/>
      <c r="BB104" s="605">
        <f t="shared" si="78"/>
        <v>0</v>
      </c>
      <c r="BC104" s="712"/>
      <c r="BD104" s="605">
        <f t="shared" si="78"/>
        <v>0</v>
      </c>
      <c r="BE104" s="712"/>
      <c r="BF104" s="712">
        <f t="shared" ref="BF104:BF112" si="79">SUM(AZ104:BD104)</f>
        <v>0</v>
      </c>
      <c r="BG104" s="712"/>
      <c r="BH104" s="712">
        <f t="shared" si="76"/>
        <v>0</v>
      </c>
      <c r="BJ104" s="590">
        <f t="shared" si="73"/>
        <v>502</v>
      </c>
    </row>
    <row r="105" spans="1:62">
      <c r="A105" s="590">
        <f t="shared" si="74"/>
        <v>503</v>
      </c>
      <c r="B105" s="729" t="s">
        <v>1849</v>
      </c>
      <c r="F105" s="706" t="s">
        <v>1766</v>
      </c>
      <c r="H105" s="723"/>
      <c r="J105" s="723"/>
      <c r="K105" s="712"/>
      <c r="L105" s="723"/>
      <c r="M105" s="712"/>
      <c r="N105" s="723"/>
      <c r="O105" s="712"/>
      <c r="R105" s="713" t="s">
        <v>1762</v>
      </c>
      <c r="T105" s="712">
        <v>0</v>
      </c>
      <c r="U105" s="712"/>
      <c r="V105" s="712">
        <v>0</v>
      </c>
      <c r="W105" s="712"/>
      <c r="X105" s="712">
        <f>N105</f>
        <v>0</v>
      </c>
      <c r="Y105" s="712"/>
      <c r="Z105" s="712">
        <f>SUM(T105:X105)</f>
        <v>0</v>
      </c>
      <c r="AA105" s="712"/>
      <c r="AB105" s="607" t="s">
        <v>1771</v>
      </c>
      <c r="AC105" s="712"/>
      <c r="AD105" s="712">
        <v>0</v>
      </c>
      <c r="AE105" s="712"/>
      <c r="AF105" s="712">
        <v>0</v>
      </c>
      <c r="AG105" s="712"/>
      <c r="AH105" s="723"/>
      <c r="AI105" s="712"/>
      <c r="AJ105" s="607" t="s">
        <v>1772</v>
      </c>
      <c r="AK105" s="712"/>
      <c r="AL105" s="605">
        <f t="shared" si="77"/>
        <v>0</v>
      </c>
      <c r="AM105" s="712"/>
      <c r="AN105" s="605">
        <f t="shared" si="77"/>
        <v>0</v>
      </c>
      <c r="AO105" s="712"/>
      <c r="AP105" s="605">
        <f t="shared" si="77"/>
        <v>0</v>
      </c>
      <c r="AQ105" s="712"/>
      <c r="AR105" s="712">
        <f t="shared" si="75"/>
        <v>0</v>
      </c>
      <c r="AT105" s="712">
        <v>0</v>
      </c>
      <c r="AU105" s="712"/>
      <c r="AV105" s="712">
        <v>0</v>
      </c>
      <c r="AW105" s="712"/>
      <c r="AX105" s="723"/>
      <c r="AY105" s="712"/>
      <c r="AZ105" s="605">
        <f t="shared" si="78"/>
        <v>0</v>
      </c>
      <c r="BA105" s="712"/>
      <c r="BB105" s="605">
        <f t="shared" si="78"/>
        <v>0</v>
      </c>
      <c r="BC105" s="712"/>
      <c r="BD105" s="605">
        <f t="shared" si="78"/>
        <v>0</v>
      </c>
      <c r="BE105" s="712"/>
      <c r="BF105" s="712">
        <f t="shared" si="79"/>
        <v>0</v>
      </c>
      <c r="BG105" s="712"/>
      <c r="BH105" s="712">
        <f t="shared" si="76"/>
        <v>0</v>
      </c>
      <c r="BJ105" s="590">
        <f t="shared" si="73"/>
        <v>503</v>
      </c>
    </row>
    <row r="106" spans="1:62">
      <c r="A106" s="590">
        <f t="shared" si="74"/>
        <v>504</v>
      </c>
      <c r="B106" s="729" t="s">
        <v>1850</v>
      </c>
      <c r="F106" s="715" t="s">
        <v>1766</v>
      </c>
      <c r="H106" s="723"/>
      <c r="J106" s="723"/>
      <c r="K106" s="712"/>
      <c r="L106" s="723"/>
      <c r="M106" s="712"/>
      <c r="N106" s="723"/>
      <c r="O106" s="712"/>
      <c r="R106" s="713" t="s">
        <v>1762</v>
      </c>
      <c r="T106" s="712">
        <v>0</v>
      </c>
      <c r="U106" s="712"/>
      <c r="V106" s="712">
        <v>0</v>
      </c>
      <c r="W106" s="712"/>
      <c r="X106" s="712">
        <f>N106</f>
        <v>0</v>
      </c>
      <c r="Y106" s="712"/>
      <c r="Z106" s="712">
        <f>SUM(T106:X106)</f>
        <v>0</v>
      </c>
      <c r="AA106" s="712"/>
      <c r="AB106" s="607" t="s">
        <v>1771</v>
      </c>
      <c r="AC106" s="712"/>
      <c r="AD106" s="712">
        <v>0</v>
      </c>
      <c r="AE106" s="712"/>
      <c r="AF106" s="712">
        <v>0</v>
      </c>
      <c r="AG106" s="712"/>
      <c r="AH106" s="723"/>
      <c r="AI106" s="712"/>
      <c r="AJ106" s="607" t="s">
        <v>1772</v>
      </c>
      <c r="AK106" s="712"/>
      <c r="AL106" s="605">
        <f t="shared" si="77"/>
        <v>0</v>
      </c>
      <c r="AM106" s="712"/>
      <c r="AN106" s="605">
        <f t="shared" si="77"/>
        <v>0</v>
      </c>
      <c r="AO106" s="712"/>
      <c r="AP106" s="605">
        <f t="shared" si="77"/>
        <v>0</v>
      </c>
      <c r="AQ106" s="712"/>
      <c r="AR106" s="712">
        <f t="shared" si="75"/>
        <v>0</v>
      </c>
      <c r="AT106" s="712">
        <v>0</v>
      </c>
      <c r="AU106" s="712"/>
      <c r="AV106" s="712">
        <v>0</v>
      </c>
      <c r="AW106" s="712"/>
      <c r="AX106" s="723"/>
      <c r="AY106" s="712"/>
      <c r="AZ106" s="605">
        <f t="shared" si="78"/>
        <v>0</v>
      </c>
      <c r="BA106" s="712"/>
      <c r="BB106" s="605">
        <f t="shared" si="78"/>
        <v>0</v>
      </c>
      <c r="BC106" s="712"/>
      <c r="BD106" s="605">
        <f t="shared" si="78"/>
        <v>0</v>
      </c>
      <c r="BE106" s="712"/>
      <c r="BF106" s="712">
        <f t="shared" si="79"/>
        <v>0</v>
      </c>
      <c r="BG106" s="712"/>
      <c r="BH106" s="712">
        <f t="shared" si="76"/>
        <v>0</v>
      </c>
      <c r="BJ106" s="590">
        <f t="shared" si="73"/>
        <v>504</v>
      </c>
    </row>
    <row r="107" spans="1:62">
      <c r="A107" s="590">
        <f>+A106+1</f>
        <v>505</v>
      </c>
      <c r="B107" s="729" t="s">
        <v>1851</v>
      </c>
      <c r="F107" s="715" t="s">
        <v>1766</v>
      </c>
      <c r="H107" s="723"/>
      <c r="J107" s="723"/>
      <c r="K107" s="712"/>
      <c r="L107" s="723"/>
      <c r="M107" s="712"/>
      <c r="N107" s="723"/>
      <c r="O107" s="712"/>
      <c r="R107" s="713" t="s">
        <v>1762</v>
      </c>
      <c r="T107" s="712">
        <v>0</v>
      </c>
      <c r="U107" s="712"/>
      <c r="V107" s="712">
        <v>0</v>
      </c>
      <c r="W107" s="712"/>
      <c r="X107" s="712">
        <f>N107</f>
        <v>0</v>
      </c>
      <c r="Y107" s="712"/>
      <c r="Z107" s="712">
        <f>SUM(T107:X107)</f>
        <v>0</v>
      </c>
      <c r="AA107" s="712"/>
      <c r="AB107" s="607" t="s">
        <v>1771</v>
      </c>
      <c r="AC107" s="712"/>
      <c r="AD107" s="712">
        <v>0</v>
      </c>
      <c r="AE107" s="712"/>
      <c r="AF107" s="712">
        <v>0</v>
      </c>
      <c r="AG107" s="712"/>
      <c r="AH107" s="723"/>
      <c r="AI107" s="712"/>
      <c r="AJ107" s="607" t="s">
        <v>1772</v>
      </c>
      <c r="AK107" s="712"/>
      <c r="AL107" s="605">
        <f t="shared" si="77"/>
        <v>0</v>
      </c>
      <c r="AM107" s="712"/>
      <c r="AN107" s="605">
        <f t="shared" si="77"/>
        <v>0</v>
      </c>
      <c r="AO107" s="712"/>
      <c r="AP107" s="605">
        <f t="shared" si="77"/>
        <v>0</v>
      </c>
      <c r="AQ107" s="712"/>
      <c r="AR107" s="712">
        <f t="shared" si="75"/>
        <v>0</v>
      </c>
      <c r="AT107" s="712">
        <v>0</v>
      </c>
      <c r="AU107" s="712"/>
      <c r="AV107" s="712">
        <v>0</v>
      </c>
      <c r="AW107" s="712"/>
      <c r="AX107" s="723"/>
      <c r="AY107" s="712"/>
      <c r="AZ107" s="605">
        <f t="shared" si="78"/>
        <v>0</v>
      </c>
      <c r="BA107" s="712"/>
      <c r="BB107" s="605">
        <f t="shared" si="78"/>
        <v>0</v>
      </c>
      <c r="BC107" s="712"/>
      <c r="BD107" s="605">
        <f t="shared" si="78"/>
        <v>0</v>
      </c>
      <c r="BE107" s="712"/>
      <c r="BF107" s="712">
        <f t="shared" si="79"/>
        <v>0</v>
      </c>
      <c r="BG107" s="712"/>
      <c r="BH107" s="712">
        <f t="shared" si="76"/>
        <v>0</v>
      </c>
      <c r="BJ107" s="590">
        <f t="shared" si="73"/>
        <v>505</v>
      </c>
    </row>
    <row r="108" spans="1:62">
      <c r="A108" s="590">
        <f>+A107+1</f>
        <v>506</v>
      </c>
      <c r="B108" s="729" t="s">
        <v>1852</v>
      </c>
      <c r="F108" s="715" t="s">
        <v>1766</v>
      </c>
      <c r="H108" s="723"/>
      <c r="J108" s="723"/>
      <c r="K108" s="712"/>
      <c r="L108" s="723"/>
      <c r="M108" s="712"/>
      <c r="N108" s="723"/>
      <c r="O108" s="712"/>
      <c r="R108" s="713" t="s">
        <v>1762</v>
      </c>
      <c r="T108" s="712">
        <v>0</v>
      </c>
      <c r="U108" s="712"/>
      <c r="V108" s="712">
        <v>0</v>
      </c>
      <c r="W108" s="712"/>
      <c r="X108" s="712">
        <f>N108</f>
        <v>0</v>
      </c>
      <c r="Y108" s="712"/>
      <c r="Z108" s="712">
        <f>SUM(T108:X108)</f>
        <v>0</v>
      </c>
      <c r="AA108" s="712"/>
      <c r="AB108" s="607" t="s">
        <v>1771</v>
      </c>
      <c r="AC108" s="712"/>
      <c r="AD108" s="712">
        <v>0</v>
      </c>
      <c r="AE108" s="712"/>
      <c r="AF108" s="712">
        <v>0</v>
      </c>
      <c r="AG108" s="712"/>
      <c r="AH108" s="723"/>
      <c r="AI108" s="712"/>
      <c r="AJ108" s="607" t="s">
        <v>1772</v>
      </c>
      <c r="AK108" s="712"/>
      <c r="AL108" s="605">
        <f t="shared" si="77"/>
        <v>0</v>
      </c>
      <c r="AM108" s="712"/>
      <c r="AN108" s="605">
        <f t="shared" si="77"/>
        <v>0</v>
      </c>
      <c r="AO108" s="712"/>
      <c r="AP108" s="605">
        <f t="shared" si="77"/>
        <v>0</v>
      </c>
      <c r="AQ108" s="712"/>
      <c r="AR108" s="712">
        <f t="shared" si="75"/>
        <v>0</v>
      </c>
      <c r="AT108" s="712">
        <v>0</v>
      </c>
      <c r="AU108" s="712"/>
      <c r="AV108" s="712">
        <v>0</v>
      </c>
      <c r="AW108" s="712"/>
      <c r="AX108" s="723"/>
      <c r="AY108" s="712"/>
      <c r="AZ108" s="605">
        <f t="shared" si="78"/>
        <v>0</v>
      </c>
      <c r="BA108" s="712"/>
      <c r="BB108" s="605">
        <f t="shared" si="78"/>
        <v>0</v>
      </c>
      <c r="BC108" s="712"/>
      <c r="BD108" s="605">
        <f t="shared" si="78"/>
        <v>0</v>
      </c>
      <c r="BE108" s="712"/>
      <c r="BF108" s="712">
        <f t="shared" si="79"/>
        <v>0</v>
      </c>
      <c r="BG108" s="712"/>
      <c r="BH108" s="712">
        <f t="shared" si="76"/>
        <v>0</v>
      </c>
      <c r="BJ108" s="590">
        <f t="shared" si="73"/>
        <v>506</v>
      </c>
    </row>
    <row r="109" spans="1:62">
      <c r="A109" s="590">
        <f t="shared" ref="A109:A111" si="80">+A108+1</f>
        <v>507</v>
      </c>
      <c r="B109" s="729" t="s">
        <v>1853</v>
      </c>
      <c r="F109" s="715" t="s">
        <v>1766</v>
      </c>
      <c r="H109" s="723"/>
      <c r="J109" s="723"/>
      <c r="K109" s="712"/>
      <c r="L109" s="723"/>
      <c r="M109" s="712"/>
      <c r="N109" s="723"/>
      <c r="O109" s="712"/>
      <c r="R109" s="713" t="s">
        <v>1762</v>
      </c>
      <c r="T109" s="712">
        <v>0</v>
      </c>
      <c r="U109" s="712"/>
      <c r="V109" s="712">
        <v>0</v>
      </c>
      <c r="W109" s="712"/>
      <c r="X109" s="712">
        <f t="shared" ref="X109:X112" si="81">N109</f>
        <v>0</v>
      </c>
      <c r="Y109" s="712"/>
      <c r="Z109" s="712">
        <f t="shared" ref="Z109:Z112" si="82">SUM(T109:X109)</f>
        <v>0</v>
      </c>
      <c r="AA109" s="712"/>
      <c r="AB109" s="607" t="s">
        <v>1771</v>
      </c>
      <c r="AC109" s="712"/>
      <c r="AD109" s="712">
        <v>0</v>
      </c>
      <c r="AE109" s="712"/>
      <c r="AF109" s="712">
        <v>0</v>
      </c>
      <c r="AG109" s="712"/>
      <c r="AH109" s="723"/>
      <c r="AI109" s="712"/>
      <c r="AJ109" s="607" t="s">
        <v>1772</v>
      </c>
      <c r="AK109" s="712"/>
      <c r="AL109" s="605">
        <f t="shared" si="77"/>
        <v>0</v>
      </c>
      <c r="AM109" s="712"/>
      <c r="AN109" s="605">
        <f t="shared" si="77"/>
        <v>0</v>
      </c>
      <c r="AO109" s="712"/>
      <c r="AP109" s="605">
        <f t="shared" si="77"/>
        <v>0</v>
      </c>
      <c r="AQ109" s="712"/>
      <c r="AR109" s="712">
        <f t="shared" si="75"/>
        <v>0</v>
      </c>
      <c r="AT109" s="712">
        <v>0</v>
      </c>
      <c r="AU109" s="712"/>
      <c r="AV109" s="712">
        <v>0</v>
      </c>
      <c r="AW109" s="712"/>
      <c r="AX109" s="723"/>
      <c r="AY109" s="712"/>
      <c r="AZ109" s="605">
        <f t="shared" si="78"/>
        <v>0</v>
      </c>
      <c r="BA109" s="712"/>
      <c r="BB109" s="605">
        <f t="shared" si="78"/>
        <v>0</v>
      </c>
      <c r="BC109" s="712"/>
      <c r="BD109" s="605">
        <f t="shared" si="78"/>
        <v>0</v>
      </c>
      <c r="BE109" s="712"/>
      <c r="BF109" s="712">
        <f t="shared" si="79"/>
        <v>0</v>
      </c>
      <c r="BG109" s="712"/>
      <c r="BH109" s="712">
        <f t="shared" si="76"/>
        <v>0</v>
      </c>
      <c r="BJ109" s="590">
        <f t="shared" si="73"/>
        <v>507</v>
      </c>
    </row>
    <row r="110" spans="1:62">
      <c r="A110" s="590">
        <f t="shared" si="80"/>
        <v>508</v>
      </c>
      <c r="B110" s="729" t="s">
        <v>1854</v>
      </c>
      <c r="F110" s="715" t="s">
        <v>1766</v>
      </c>
      <c r="H110" s="723"/>
      <c r="J110" s="723"/>
      <c r="K110" s="712"/>
      <c r="L110" s="723"/>
      <c r="M110" s="712"/>
      <c r="N110" s="723"/>
      <c r="O110" s="712"/>
      <c r="R110" s="713" t="s">
        <v>1762</v>
      </c>
      <c r="T110" s="712">
        <v>0</v>
      </c>
      <c r="U110" s="712"/>
      <c r="V110" s="712">
        <v>0</v>
      </c>
      <c r="W110" s="712"/>
      <c r="X110" s="712">
        <f t="shared" si="81"/>
        <v>0</v>
      </c>
      <c r="Y110" s="712"/>
      <c r="Z110" s="712">
        <f t="shared" si="82"/>
        <v>0</v>
      </c>
      <c r="AA110" s="712"/>
      <c r="AB110" s="607" t="s">
        <v>1771</v>
      </c>
      <c r="AC110" s="712"/>
      <c r="AD110" s="712">
        <v>0</v>
      </c>
      <c r="AE110" s="712"/>
      <c r="AF110" s="712">
        <v>0</v>
      </c>
      <c r="AG110" s="712"/>
      <c r="AH110" s="723"/>
      <c r="AI110" s="712"/>
      <c r="AJ110" s="607" t="s">
        <v>1772</v>
      </c>
      <c r="AK110" s="712"/>
      <c r="AL110" s="605">
        <f t="shared" si="77"/>
        <v>0</v>
      </c>
      <c r="AM110" s="712"/>
      <c r="AN110" s="605">
        <f t="shared" si="77"/>
        <v>0</v>
      </c>
      <c r="AO110" s="712"/>
      <c r="AP110" s="605">
        <f t="shared" si="77"/>
        <v>0</v>
      </c>
      <c r="AQ110" s="712"/>
      <c r="AR110" s="712">
        <f t="shared" si="75"/>
        <v>0</v>
      </c>
      <c r="AT110" s="712">
        <v>0</v>
      </c>
      <c r="AU110" s="712"/>
      <c r="AV110" s="712">
        <v>0</v>
      </c>
      <c r="AW110" s="712"/>
      <c r="AX110" s="723"/>
      <c r="AY110" s="712"/>
      <c r="AZ110" s="605">
        <f t="shared" si="78"/>
        <v>0</v>
      </c>
      <c r="BA110" s="712"/>
      <c r="BB110" s="605">
        <f t="shared" si="78"/>
        <v>0</v>
      </c>
      <c r="BC110" s="712"/>
      <c r="BD110" s="605">
        <f t="shared" si="78"/>
        <v>0</v>
      </c>
      <c r="BE110" s="712"/>
      <c r="BF110" s="712">
        <f t="shared" si="79"/>
        <v>0</v>
      </c>
      <c r="BG110" s="712"/>
      <c r="BH110" s="712">
        <f t="shared" si="76"/>
        <v>0</v>
      </c>
      <c r="BJ110" s="590">
        <f t="shared" si="73"/>
        <v>508</v>
      </c>
    </row>
    <row r="111" spans="1:62">
      <c r="A111" s="590">
        <f t="shared" si="80"/>
        <v>509</v>
      </c>
      <c r="B111" s="729"/>
      <c r="H111" s="723"/>
      <c r="J111" s="723"/>
      <c r="K111" s="712"/>
      <c r="L111" s="723"/>
      <c r="M111" s="712"/>
      <c r="N111" s="723"/>
      <c r="O111" s="712"/>
      <c r="T111" s="712">
        <v>0</v>
      </c>
      <c r="U111" s="712"/>
      <c r="V111" s="712">
        <v>0</v>
      </c>
      <c r="W111" s="712"/>
      <c r="X111" s="712">
        <f t="shared" si="81"/>
        <v>0</v>
      </c>
      <c r="Y111" s="712"/>
      <c r="Z111" s="712">
        <f t="shared" si="82"/>
        <v>0</v>
      </c>
      <c r="AA111" s="712"/>
      <c r="AB111" s="712"/>
      <c r="AC111" s="712"/>
      <c r="AD111" s="712">
        <v>0</v>
      </c>
      <c r="AE111" s="712"/>
      <c r="AF111" s="712">
        <v>0</v>
      </c>
      <c r="AG111" s="712"/>
      <c r="AH111" s="723"/>
      <c r="AI111" s="712"/>
      <c r="AJ111" s="712"/>
      <c r="AK111" s="712"/>
      <c r="AL111" s="605">
        <f t="shared" si="77"/>
        <v>0</v>
      </c>
      <c r="AM111" s="712"/>
      <c r="AN111" s="605">
        <f t="shared" si="77"/>
        <v>0</v>
      </c>
      <c r="AO111" s="712"/>
      <c r="AP111" s="605">
        <f t="shared" si="77"/>
        <v>0</v>
      </c>
      <c r="AQ111" s="712"/>
      <c r="AR111" s="712">
        <f t="shared" si="75"/>
        <v>0</v>
      </c>
      <c r="AT111" s="712">
        <v>0</v>
      </c>
      <c r="AU111" s="712"/>
      <c r="AV111" s="712">
        <v>0</v>
      </c>
      <c r="AW111" s="712"/>
      <c r="AX111" s="723"/>
      <c r="AY111" s="712"/>
      <c r="AZ111" s="605">
        <f t="shared" si="78"/>
        <v>0</v>
      </c>
      <c r="BA111" s="712"/>
      <c r="BB111" s="605">
        <f t="shared" si="78"/>
        <v>0</v>
      </c>
      <c r="BC111" s="712"/>
      <c r="BD111" s="605">
        <f t="shared" si="78"/>
        <v>0</v>
      </c>
      <c r="BE111" s="712"/>
      <c r="BF111" s="712">
        <f t="shared" si="79"/>
        <v>0</v>
      </c>
      <c r="BG111" s="712"/>
      <c r="BH111" s="712"/>
      <c r="BJ111" s="590">
        <f t="shared" si="73"/>
        <v>509</v>
      </c>
    </row>
    <row r="112" spans="1:62">
      <c r="A112" s="590">
        <f>+A109+1</f>
        <v>508</v>
      </c>
      <c r="B112" s="729"/>
      <c r="H112" s="723"/>
      <c r="J112" s="723"/>
      <c r="K112" s="712"/>
      <c r="L112" s="723"/>
      <c r="M112" s="712"/>
      <c r="N112" s="723"/>
      <c r="O112" s="712"/>
      <c r="T112" s="712">
        <v>0</v>
      </c>
      <c r="U112" s="712"/>
      <c r="V112" s="712">
        <v>0</v>
      </c>
      <c r="W112" s="712"/>
      <c r="X112" s="712">
        <f t="shared" si="81"/>
        <v>0</v>
      </c>
      <c r="Y112" s="712"/>
      <c r="Z112" s="712">
        <f t="shared" si="82"/>
        <v>0</v>
      </c>
      <c r="AA112" s="712"/>
      <c r="AB112" s="712"/>
      <c r="AC112" s="712"/>
      <c r="AD112" s="712">
        <v>0</v>
      </c>
      <c r="AE112" s="712"/>
      <c r="AF112" s="712">
        <v>0</v>
      </c>
      <c r="AG112" s="712"/>
      <c r="AH112" s="723"/>
      <c r="AI112" s="712"/>
      <c r="AJ112" s="712"/>
      <c r="AK112" s="712"/>
      <c r="AL112" s="605">
        <f t="shared" si="77"/>
        <v>0</v>
      </c>
      <c r="AM112" s="712"/>
      <c r="AN112" s="605">
        <f t="shared" si="77"/>
        <v>0</v>
      </c>
      <c r="AO112" s="712"/>
      <c r="AP112" s="605">
        <f t="shared" si="77"/>
        <v>0</v>
      </c>
      <c r="AQ112" s="712"/>
      <c r="AR112" s="712">
        <f t="shared" si="75"/>
        <v>0</v>
      </c>
      <c r="AT112" s="712">
        <v>0</v>
      </c>
      <c r="AU112" s="712"/>
      <c r="AV112" s="712">
        <v>0</v>
      </c>
      <c r="AW112" s="712"/>
      <c r="AX112" s="723"/>
      <c r="AY112" s="712"/>
      <c r="AZ112" s="605">
        <f t="shared" si="78"/>
        <v>0</v>
      </c>
      <c r="BA112" s="712"/>
      <c r="BB112" s="605">
        <f t="shared" si="78"/>
        <v>0</v>
      </c>
      <c r="BC112" s="712"/>
      <c r="BD112" s="605">
        <f t="shared" si="78"/>
        <v>0</v>
      </c>
      <c r="BE112" s="712"/>
      <c r="BF112" s="712">
        <f t="shared" si="79"/>
        <v>0</v>
      </c>
      <c r="BG112" s="712"/>
      <c r="BH112" s="712"/>
      <c r="BJ112" s="590">
        <f t="shared" si="73"/>
        <v>508</v>
      </c>
    </row>
    <row r="113" spans="1:62">
      <c r="A113" s="590"/>
      <c r="B113" s="706"/>
      <c r="H113" s="712"/>
      <c r="J113" s="712"/>
      <c r="K113" s="712"/>
      <c r="L113" s="712"/>
      <c r="M113" s="712"/>
      <c r="N113" s="712"/>
      <c r="O113" s="712"/>
      <c r="T113" s="712"/>
      <c r="U113" s="712"/>
      <c r="V113" s="712"/>
      <c r="W113" s="712"/>
      <c r="X113" s="712"/>
      <c r="Y113" s="712"/>
      <c r="Z113" s="712"/>
      <c r="AA113" s="712"/>
      <c r="AB113" s="712"/>
      <c r="AC113" s="712"/>
      <c r="AD113" s="712"/>
      <c r="AE113" s="712"/>
      <c r="AF113" s="712"/>
      <c r="AG113" s="712"/>
      <c r="AH113" s="712"/>
      <c r="AI113" s="712"/>
      <c r="AJ113" s="712"/>
      <c r="AK113" s="712"/>
      <c r="AL113" s="712"/>
      <c r="AM113" s="712"/>
      <c r="AN113" s="712"/>
      <c r="AO113" s="712"/>
      <c r="AP113" s="712"/>
      <c r="AQ113" s="712"/>
      <c r="AR113" s="712"/>
      <c r="AT113" s="712"/>
      <c r="AU113" s="712"/>
      <c r="AV113" s="712"/>
      <c r="AW113" s="712"/>
      <c r="AX113" s="712"/>
      <c r="AY113" s="712"/>
      <c r="AZ113" s="712"/>
      <c r="BA113" s="712"/>
      <c r="BB113" s="712"/>
      <c r="BC113" s="712"/>
      <c r="BD113" s="712"/>
      <c r="BE113" s="712"/>
      <c r="BF113" s="712"/>
      <c r="BG113" s="712"/>
      <c r="BH113" s="712"/>
      <c r="BJ113" s="590"/>
    </row>
    <row r="114" spans="1:62">
      <c r="A114" s="323" t="s">
        <v>124</v>
      </c>
      <c r="BJ114" s="726" t="s">
        <v>124</v>
      </c>
    </row>
    <row r="115" spans="1:62">
      <c r="A115" s="590">
        <v>600</v>
      </c>
      <c r="B115" s="702" t="s">
        <v>1571</v>
      </c>
      <c r="H115" s="721">
        <f>ROUND(SUM(H116:H120),0)</f>
        <v>0</v>
      </c>
      <c r="J115" s="721">
        <f>ROUND(SUM(J116:J120),0)</f>
        <v>0</v>
      </c>
      <c r="K115" s="712"/>
      <c r="L115" s="721">
        <f>ROUND(SUM(L116:L120),0)</f>
        <v>0</v>
      </c>
      <c r="M115" s="712"/>
      <c r="N115" s="721">
        <f>ROUND(SUM(N116:N120),0)</f>
        <v>0</v>
      </c>
      <c r="O115" s="712"/>
      <c r="Q115" s="590"/>
      <c r="R115" s="590"/>
      <c r="S115" s="590"/>
      <c r="T115" s="721">
        <f>ROUND(SUM(T116:T120),0)</f>
        <v>0</v>
      </c>
      <c r="U115" s="712"/>
      <c r="V115" s="721">
        <f>ROUND(SUM(V116:V120),0)</f>
        <v>0</v>
      </c>
      <c r="W115" s="712"/>
      <c r="X115" s="721">
        <f>ROUND(SUM(X116:X120),0)</f>
        <v>0</v>
      </c>
      <c r="Y115" s="712"/>
      <c r="Z115" s="721">
        <f>ROUND(SUM(Z116:Z120),0)</f>
        <v>0</v>
      </c>
      <c r="AA115" s="712"/>
      <c r="AB115" s="712"/>
      <c r="AC115" s="712"/>
      <c r="AD115" s="721">
        <f>SUM(AD116:AD120)</f>
        <v>0</v>
      </c>
      <c r="AE115" s="712"/>
      <c r="AF115" s="721">
        <f>SUM(AF116:AF120)</f>
        <v>0</v>
      </c>
      <c r="AG115" s="712"/>
      <c r="AH115" s="721">
        <f>SUM(AH116:AH120)</f>
        <v>0</v>
      </c>
      <c r="AI115" s="712"/>
      <c r="AJ115" s="712"/>
      <c r="AK115" s="712"/>
      <c r="AL115" s="721">
        <f>SUM(AL116:AL120)</f>
        <v>0</v>
      </c>
      <c r="AM115" s="712"/>
      <c r="AN115" s="721">
        <f>SUM(AN116:AN120)</f>
        <v>0</v>
      </c>
      <c r="AO115" s="712"/>
      <c r="AP115" s="721">
        <f>SUM(AP116:AP120)</f>
        <v>0</v>
      </c>
      <c r="AQ115" s="712"/>
      <c r="AR115" s="721">
        <f>SUM(AR116:AR120)</f>
        <v>0</v>
      </c>
      <c r="AT115" s="721">
        <f>SUM(AT116:AT120)</f>
        <v>0</v>
      </c>
      <c r="AU115" s="712"/>
      <c r="AV115" s="721">
        <f>SUM(AV116:AV120)</f>
        <v>0</v>
      </c>
      <c r="AW115" s="712"/>
      <c r="AX115" s="721">
        <f>SUM(AX116:AX120)</f>
        <v>0</v>
      </c>
      <c r="AY115" s="712"/>
      <c r="AZ115" s="721">
        <f>SUM(AZ116:AZ120)</f>
        <v>0</v>
      </c>
      <c r="BA115" s="712"/>
      <c r="BB115" s="721">
        <f>SUM(BB116:BB120)</f>
        <v>0</v>
      </c>
      <c r="BC115" s="712"/>
      <c r="BD115" s="721">
        <f>SUM(BD116:BD120)</f>
        <v>0</v>
      </c>
      <c r="BE115" s="712"/>
      <c r="BF115" s="721">
        <f>SUM(BF116:BF120)</f>
        <v>0</v>
      </c>
      <c r="BG115" s="712"/>
      <c r="BH115" s="721">
        <f>ROUND(SUM(BH116:BH120),0)</f>
        <v>0</v>
      </c>
      <c r="BJ115" s="590">
        <f t="shared" ref="BJ115:BJ120" si="83">A115</f>
        <v>600</v>
      </c>
    </row>
    <row r="116" spans="1:62">
      <c r="A116" s="590">
        <f t="shared" ref="A116:A119" si="84">A115+1</f>
        <v>601</v>
      </c>
      <c r="B116" s="634" t="s">
        <v>1855</v>
      </c>
      <c r="F116" s="715" t="s">
        <v>1768</v>
      </c>
      <c r="H116" s="723"/>
      <c r="J116" s="723"/>
      <c r="K116" s="712"/>
      <c r="L116" s="723"/>
      <c r="M116" s="712"/>
      <c r="N116" s="723"/>
      <c r="O116" s="712"/>
      <c r="R116" s="713" t="s">
        <v>1763</v>
      </c>
      <c r="T116" s="712">
        <f>+N116</f>
        <v>0</v>
      </c>
      <c r="U116" s="712"/>
      <c r="V116" s="712">
        <v>0</v>
      </c>
      <c r="W116" s="712"/>
      <c r="X116" s="712">
        <v>0</v>
      </c>
      <c r="Y116" s="712"/>
      <c r="Z116" s="712">
        <f>SUM(T116:X116)</f>
        <v>0</v>
      </c>
      <c r="AA116" s="712"/>
      <c r="AB116" s="607" t="s">
        <v>1560</v>
      </c>
      <c r="AC116" s="712"/>
      <c r="AD116" s="723"/>
      <c r="AE116" s="712"/>
      <c r="AF116" s="712">
        <v>0</v>
      </c>
      <c r="AG116" s="712"/>
      <c r="AH116" s="712">
        <v>0</v>
      </c>
      <c r="AI116" s="712"/>
      <c r="AJ116" s="607" t="s">
        <v>1773</v>
      </c>
      <c r="AK116" s="712"/>
      <c r="AL116" s="605">
        <f>+T116-AD116</f>
        <v>0</v>
      </c>
      <c r="AM116" s="712"/>
      <c r="AN116" s="605">
        <f>+V116-AF116</f>
        <v>0</v>
      </c>
      <c r="AO116" s="712"/>
      <c r="AP116" s="605">
        <f>+X116-AH116</f>
        <v>0</v>
      </c>
      <c r="AQ116" s="712"/>
      <c r="AR116" s="712">
        <f t="shared" ref="AR116:AR121" si="85">SUM(AL116:AP116)</f>
        <v>0</v>
      </c>
      <c r="AT116" s="723"/>
      <c r="AU116" s="712"/>
      <c r="AV116" s="712">
        <v>0</v>
      </c>
      <c r="AW116" s="712"/>
      <c r="AX116" s="712">
        <v>0</v>
      </c>
      <c r="AY116" s="712"/>
      <c r="AZ116" s="605">
        <f>+AL116-AT116</f>
        <v>0</v>
      </c>
      <c r="BA116" s="712"/>
      <c r="BB116" s="605">
        <f>+AN116-AV116</f>
        <v>0</v>
      </c>
      <c r="BC116" s="712"/>
      <c r="BD116" s="605">
        <f>+AP116-AX116</f>
        <v>0</v>
      </c>
      <c r="BE116" s="712"/>
      <c r="BF116" s="712">
        <f>SUM(AZ116:BD116)</f>
        <v>0</v>
      </c>
      <c r="BG116" s="712"/>
      <c r="BH116" s="712">
        <f>+BF116*$BH$9</f>
        <v>0</v>
      </c>
      <c r="BJ116" s="590">
        <f t="shared" si="83"/>
        <v>601</v>
      </c>
    </row>
    <row r="117" spans="1:62">
      <c r="A117" s="590">
        <f t="shared" si="84"/>
        <v>602</v>
      </c>
      <c r="B117" s="634" t="s">
        <v>1856</v>
      </c>
      <c r="F117" s="715" t="s">
        <v>1768</v>
      </c>
      <c r="H117" s="723"/>
      <c r="J117" s="723"/>
      <c r="K117" s="712"/>
      <c r="L117" s="723"/>
      <c r="M117" s="712"/>
      <c r="N117" s="723"/>
      <c r="O117" s="712"/>
      <c r="R117" s="713" t="s">
        <v>1763</v>
      </c>
      <c r="T117" s="712">
        <f t="shared" ref="T117:T120" si="86">+N117</f>
        <v>0</v>
      </c>
      <c r="U117" s="712"/>
      <c r="V117" s="712">
        <v>0</v>
      </c>
      <c r="W117" s="712"/>
      <c r="X117" s="712">
        <v>0</v>
      </c>
      <c r="Y117" s="712"/>
      <c r="Z117" s="712">
        <f t="shared" ref="Z117:Z120" si="87">SUM(T117:X117)</f>
        <v>0</v>
      </c>
      <c r="AA117" s="712"/>
      <c r="AB117" s="607" t="s">
        <v>1560</v>
      </c>
      <c r="AC117" s="712"/>
      <c r="AD117" s="723"/>
      <c r="AE117" s="712"/>
      <c r="AF117" s="712">
        <v>0</v>
      </c>
      <c r="AG117" s="712"/>
      <c r="AH117" s="712">
        <v>0</v>
      </c>
      <c r="AI117" s="712"/>
      <c r="AJ117" s="607" t="s">
        <v>1773</v>
      </c>
      <c r="AK117" s="712"/>
      <c r="AL117" s="605">
        <f t="shared" ref="AL117:AP121" si="88">+T117-AD117</f>
        <v>0</v>
      </c>
      <c r="AM117" s="712"/>
      <c r="AN117" s="605">
        <f t="shared" si="88"/>
        <v>0</v>
      </c>
      <c r="AO117" s="712"/>
      <c r="AP117" s="605">
        <f t="shared" si="88"/>
        <v>0</v>
      </c>
      <c r="AQ117" s="712"/>
      <c r="AR117" s="712">
        <f t="shared" si="85"/>
        <v>0</v>
      </c>
      <c r="AT117" s="723"/>
      <c r="AU117" s="712"/>
      <c r="AV117" s="712">
        <v>0</v>
      </c>
      <c r="AW117" s="712"/>
      <c r="AX117" s="712">
        <v>0</v>
      </c>
      <c r="AY117" s="712"/>
      <c r="AZ117" s="605">
        <f t="shared" ref="AZ117:BD121" si="89">+AL117-AT117</f>
        <v>0</v>
      </c>
      <c r="BA117" s="712"/>
      <c r="BB117" s="605">
        <f t="shared" si="89"/>
        <v>0</v>
      </c>
      <c r="BC117" s="712"/>
      <c r="BD117" s="605">
        <f t="shared" si="89"/>
        <v>0</v>
      </c>
      <c r="BE117" s="712"/>
      <c r="BF117" s="712">
        <f t="shared" ref="BF117:BF120" si="90">SUM(AZ117:BD117)</f>
        <v>0</v>
      </c>
      <c r="BG117" s="712"/>
      <c r="BH117" s="712">
        <f>+BF117*$BH$9</f>
        <v>0</v>
      </c>
      <c r="BJ117" s="590">
        <f t="shared" si="83"/>
        <v>602</v>
      </c>
    </row>
    <row r="118" spans="1:62">
      <c r="A118" s="590">
        <f t="shared" si="84"/>
        <v>603</v>
      </c>
      <c r="B118" s="730" t="s">
        <v>640</v>
      </c>
      <c r="H118" s="723"/>
      <c r="J118" s="723"/>
      <c r="K118" s="712"/>
      <c r="L118" s="723"/>
      <c r="M118" s="712"/>
      <c r="N118" s="723"/>
      <c r="O118" s="712"/>
      <c r="T118" s="712">
        <f t="shared" si="86"/>
        <v>0</v>
      </c>
      <c r="U118" s="712"/>
      <c r="V118" s="712">
        <v>0</v>
      </c>
      <c r="W118" s="712"/>
      <c r="X118" s="712">
        <v>0</v>
      </c>
      <c r="Y118" s="712"/>
      <c r="Z118" s="712">
        <f t="shared" si="87"/>
        <v>0</v>
      </c>
      <c r="AA118" s="712"/>
      <c r="AB118" s="712"/>
      <c r="AC118" s="712"/>
      <c r="AD118" s="723"/>
      <c r="AE118" s="712"/>
      <c r="AF118" s="712">
        <v>0</v>
      </c>
      <c r="AG118" s="712"/>
      <c r="AH118" s="712">
        <v>0</v>
      </c>
      <c r="AI118" s="712"/>
      <c r="AJ118" s="712"/>
      <c r="AK118" s="712"/>
      <c r="AL118" s="605">
        <f t="shared" si="88"/>
        <v>0</v>
      </c>
      <c r="AM118" s="712"/>
      <c r="AN118" s="605">
        <f t="shared" si="88"/>
        <v>0</v>
      </c>
      <c r="AO118" s="712"/>
      <c r="AP118" s="605">
        <f t="shared" si="88"/>
        <v>0</v>
      </c>
      <c r="AQ118" s="712"/>
      <c r="AR118" s="712">
        <f t="shared" si="85"/>
        <v>0</v>
      </c>
      <c r="AT118" s="723"/>
      <c r="AU118" s="712"/>
      <c r="AV118" s="712">
        <v>0</v>
      </c>
      <c r="AW118" s="712"/>
      <c r="AX118" s="712">
        <v>0</v>
      </c>
      <c r="AY118" s="712"/>
      <c r="AZ118" s="605">
        <f t="shared" si="89"/>
        <v>0</v>
      </c>
      <c r="BA118" s="712"/>
      <c r="BB118" s="605">
        <f t="shared" si="89"/>
        <v>0</v>
      </c>
      <c r="BC118" s="712"/>
      <c r="BD118" s="605">
        <f t="shared" si="89"/>
        <v>0</v>
      </c>
      <c r="BE118" s="712"/>
      <c r="BF118" s="712">
        <f t="shared" si="90"/>
        <v>0</v>
      </c>
      <c r="BG118" s="712"/>
      <c r="BH118" s="712">
        <f>+BF118*$BH$9</f>
        <v>0</v>
      </c>
      <c r="BJ118" s="590">
        <f t="shared" si="83"/>
        <v>603</v>
      </c>
    </row>
    <row r="119" spans="1:62">
      <c r="A119" s="590">
        <f t="shared" si="84"/>
        <v>604</v>
      </c>
      <c r="B119" s="730" t="s">
        <v>640</v>
      </c>
      <c r="H119" s="723"/>
      <c r="J119" s="723"/>
      <c r="K119" s="712"/>
      <c r="L119" s="723"/>
      <c r="M119" s="712"/>
      <c r="N119" s="723"/>
      <c r="O119" s="712"/>
      <c r="T119" s="712">
        <f t="shared" si="86"/>
        <v>0</v>
      </c>
      <c r="U119" s="712"/>
      <c r="V119" s="712">
        <v>0</v>
      </c>
      <c r="W119" s="712"/>
      <c r="X119" s="712">
        <v>0</v>
      </c>
      <c r="Y119" s="712"/>
      <c r="Z119" s="712">
        <f t="shared" si="87"/>
        <v>0</v>
      </c>
      <c r="AA119" s="712"/>
      <c r="AB119" s="712"/>
      <c r="AC119" s="712"/>
      <c r="AD119" s="723"/>
      <c r="AE119" s="712"/>
      <c r="AF119" s="712">
        <v>0</v>
      </c>
      <c r="AG119" s="712"/>
      <c r="AH119" s="712">
        <v>0</v>
      </c>
      <c r="AI119" s="712"/>
      <c r="AJ119" s="712"/>
      <c r="AK119" s="712"/>
      <c r="AL119" s="605">
        <f t="shared" si="88"/>
        <v>0</v>
      </c>
      <c r="AM119" s="712"/>
      <c r="AN119" s="605">
        <f t="shared" si="88"/>
        <v>0</v>
      </c>
      <c r="AO119" s="712"/>
      <c r="AP119" s="605">
        <f t="shared" si="88"/>
        <v>0</v>
      </c>
      <c r="AQ119" s="712"/>
      <c r="AR119" s="712">
        <f t="shared" si="85"/>
        <v>0</v>
      </c>
      <c r="AT119" s="723"/>
      <c r="AU119" s="712"/>
      <c r="AV119" s="712">
        <v>0</v>
      </c>
      <c r="AW119" s="712"/>
      <c r="AX119" s="712">
        <v>0</v>
      </c>
      <c r="AY119" s="712"/>
      <c r="AZ119" s="605">
        <f t="shared" si="89"/>
        <v>0</v>
      </c>
      <c r="BA119" s="712"/>
      <c r="BB119" s="605">
        <f t="shared" si="89"/>
        <v>0</v>
      </c>
      <c r="BC119" s="712"/>
      <c r="BD119" s="605">
        <f t="shared" si="89"/>
        <v>0</v>
      </c>
      <c r="BE119" s="712"/>
      <c r="BF119" s="712">
        <f t="shared" si="90"/>
        <v>0</v>
      </c>
      <c r="BG119" s="712"/>
      <c r="BH119" s="712">
        <f>+BF119*$BH$9</f>
        <v>0</v>
      </c>
      <c r="BJ119" s="590">
        <f t="shared" si="83"/>
        <v>604</v>
      </c>
    </row>
    <row r="120" spans="1:62">
      <c r="A120" s="590">
        <f>+A119+1</f>
        <v>605</v>
      </c>
      <c r="B120" s="730" t="s">
        <v>640</v>
      </c>
      <c r="H120" s="723"/>
      <c r="J120" s="723"/>
      <c r="K120" s="712"/>
      <c r="L120" s="723"/>
      <c r="M120" s="712"/>
      <c r="N120" s="723"/>
      <c r="O120" s="712"/>
      <c r="T120" s="712">
        <f t="shared" si="86"/>
        <v>0</v>
      </c>
      <c r="U120" s="712"/>
      <c r="V120" s="712">
        <v>0</v>
      </c>
      <c r="W120" s="712"/>
      <c r="X120" s="712">
        <v>0</v>
      </c>
      <c r="Y120" s="712"/>
      <c r="Z120" s="712">
        <f t="shared" si="87"/>
        <v>0</v>
      </c>
      <c r="AA120" s="712"/>
      <c r="AB120" s="712"/>
      <c r="AC120" s="712"/>
      <c r="AD120" s="723"/>
      <c r="AE120" s="712"/>
      <c r="AF120" s="712">
        <v>0</v>
      </c>
      <c r="AG120" s="712"/>
      <c r="AH120" s="712">
        <v>0</v>
      </c>
      <c r="AI120" s="712"/>
      <c r="AJ120" s="712"/>
      <c r="AK120" s="712"/>
      <c r="AL120" s="605">
        <f t="shared" si="88"/>
        <v>0</v>
      </c>
      <c r="AM120" s="712"/>
      <c r="AN120" s="605">
        <f t="shared" si="88"/>
        <v>0</v>
      </c>
      <c r="AO120" s="712"/>
      <c r="AP120" s="605">
        <f t="shared" si="88"/>
        <v>0</v>
      </c>
      <c r="AQ120" s="712"/>
      <c r="AR120" s="712">
        <f t="shared" si="85"/>
        <v>0</v>
      </c>
      <c r="AT120" s="723"/>
      <c r="AU120" s="712"/>
      <c r="AV120" s="712">
        <v>0</v>
      </c>
      <c r="AW120" s="712"/>
      <c r="AX120" s="712">
        <v>0</v>
      </c>
      <c r="AY120" s="712"/>
      <c r="AZ120" s="605">
        <f t="shared" si="89"/>
        <v>0</v>
      </c>
      <c r="BA120" s="712"/>
      <c r="BB120" s="605">
        <f t="shared" si="89"/>
        <v>0</v>
      </c>
      <c r="BC120" s="712"/>
      <c r="BD120" s="605">
        <f t="shared" si="89"/>
        <v>0</v>
      </c>
      <c r="BE120" s="712"/>
      <c r="BF120" s="712">
        <f t="shared" si="90"/>
        <v>0</v>
      </c>
      <c r="BG120" s="712"/>
      <c r="BH120" s="712">
        <f>+BF120*$BH$9</f>
        <v>0</v>
      </c>
      <c r="BJ120" s="590">
        <f t="shared" si="83"/>
        <v>605</v>
      </c>
    </row>
    <row r="121" spans="1:62">
      <c r="A121" s="590"/>
      <c r="B121" s="706"/>
      <c r="H121" s="712"/>
      <c r="J121" s="712"/>
      <c r="K121" s="712"/>
      <c r="L121" s="712"/>
      <c r="M121" s="712"/>
      <c r="N121" s="712"/>
      <c r="O121" s="712"/>
      <c r="T121" s="712"/>
      <c r="U121" s="712"/>
      <c r="V121" s="712"/>
      <c r="W121" s="712"/>
      <c r="X121" s="712"/>
      <c r="Y121" s="712"/>
      <c r="Z121" s="712"/>
      <c r="AA121" s="712"/>
      <c r="AB121" s="712"/>
      <c r="AC121" s="712"/>
      <c r="AD121" s="712"/>
      <c r="AE121" s="712"/>
      <c r="AF121" s="712"/>
      <c r="AG121" s="712"/>
      <c r="AH121" s="712"/>
      <c r="AI121" s="712"/>
      <c r="AJ121" s="712"/>
      <c r="AK121" s="712"/>
      <c r="AL121" s="605">
        <f t="shared" si="88"/>
        <v>0</v>
      </c>
      <c r="AM121" s="712"/>
      <c r="AN121" s="605">
        <f t="shared" si="88"/>
        <v>0</v>
      </c>
      <c r="AO121" s="712"/>
      <c r="AP121" s="605">
        <f t="shared" si="88"/>
        <v>0</v>
      </c>
      <c r="AQ121" s="712"/>
      <c r="AR121" s="712">
        <f t="shared" si="85"/>
        <v>0</v>
      </c>
      <c r="AT121" s="712"/>
      <c r="AU121" s="712"/>
      <c r="AV121" s="712"/>
      <c r="AW121" s="712"/>
      <c r="AX121" s="712"/>
      <c r="AY121" s="712"/>
      <c r="AZ121" s="605">
        <f t="shared" si="89"/>
        <v>0</v>
      </c>
      <c r="BA121" s="712"/>
      <c r="BB121" s="605">
        <f t="shared" si="89"/>
        <v>0</v>
      </c>
      <c r="BC121" s="712"/>
      <c r="BD121" s="605">
        <f t="shared" si="89"/>
        <v>0</v>
      </c>
      <c r="BE121" s="712"/>
      <c r="BF121" s="712"/>
      <c r="BG121" s="712"/>
      <c r="BH121" s="712"/>
      <c r="BJ121" s="590"/>
    </row>
    <row r="122" spans="1:62">
      <c r="A122" s="323" t="s">
        <v>124</v>
      </c>
      <c r="BJ122" s="726" t="s">
        <v>124</v>
      </c>
    </row>
    <row r="123" spans="1:62">
      <c r="A123" s="590">
        <v>700</v>
      </c>
      <c r="B123" s="728" t="s">
        <v>1565</v>
      </c>
      <c r="H123" s="721">
        <f>SUM(H124:H128)</f>
        <v>0</v>
      </c>
      <c r="J123" s="721">
        <f>SUM(J124:J128)</f>
        <v>0</v>
      </c>
      <c r="K123" s="712"/>
      <c r="L123" s="721">
        <f>SUM(L124:L128)</f>
        <v>0</v>
      </c>
      <c r="M123" s="712"/>
      <c r="N123" s="721">
        <f>SUM(N124:N128)</f>
        <v>0</v>
      </c>
      <c r="O123" s="712"/>
      <c r="Q123" s="590"/>
      <c r="R123" s="590"/>
      <c r="S123" s="590"/>
      <c r="T123" s="721">
        <f>SUM(T124:T128)</f>
        <v>0</v>
      </c>
      <c r="U123" s="712"/>
      <c r="V123" s="721">
        <f>SUM(V124:V128)</f>
        <v>0</v>
      </c>
      <c r="W123" s="712"/>
      <c r="X123" s="721">
        <f>SUM(X124:X128)</f>
        <v>0</v>
      </c>
      <c r="Y123" s="712"/>
      <c r="Z123" s="721">
        <f>SUM(Z124:Z128)</f>
        <v>0</v>
      </c>
      <c r="AA123" s="712"/>
      <c r="AB123" s="712"/>
      <c r="AC123" s="712"/>
      <c r="AD123" s="721">
        <f>SUM(AD124:AD128)</f>
        <v>0</v>
      </c>
      <c r="AE123" s="712"/>
      <c r="AF123" s="721">
        <f>SUM(AF124:AF128)</f>
        <v>0</v>
      </c>
      <c r="AG123" s="712"/>
      <c r="AH123" s="721">
        <f>SUM(AH124:AH128)</f>
        <v>0</v>
      </c>
      <c r="AI123" s="712"/>
      <c r="AJ123" s="712"/>
      <c r="AK123" s="712"/>
      <c r="AL123" s="721">
        <f>SUM(AL124:AL128)</f>
        <v>0</v>
      </c>
      <c r="AM123" s="712"/>
      <c r="AN123" s="721">
        <f>SUM(AN124:AN128)</f>
        <v>0</v>
      </c>
      <c r="AO123" s="712"/>
      <c r="AP123" s="721">
        <f>SUM(AP124:AP128)</f>
        <v>0</v>
      </c>
      <c r="AQ123" s="712"/>
      <c r="AR123" s="721">
        <f>SUM(AR124:AR128)</f>
        <v>0</v>
      </c>
      <c r="AT123" s="721">
        <f>SUM(AT124:AT128)</f>
        <v>0</v>
      </c>
      <c r="AU123" s="712"/>
      <c r="AV123" s="721">
        <f>SUM(AV124:AV128)</f>
        <v>0</v>
      </c>
      <c r="AW123" s="712"/>
      <c r="AX123" s="721">
        <f>SUM(AX124:AX128)</f>
        <v>0</v>
      </c>
      <c r="AY123" s="712"/>
      <c r="AZ123" s="721">
        <f>SUM(AZ124:AZ128)</f>
        <v>0</v>
      </c>
      <c r="BA123" s="712"/>
      <c r="BB123" s="721">
        <f>SUM(BB124:BB128)</f>
        <v>0</v>
      </c>
      <c r="BC123" s="712"/>
      <c r="BD123" s="721">
        <f>SUM(BD124:BD128)</f>
        <v>0</v>
      </c>
      <c r="BE123" s="712"/>
      <c r="BF123" s="721">
        <f>SUM(BF124:BF128)</f>
        <v>0</v>
      </c>
      <c r="BG123" s="712"/>
      <c r="BH123" s="721">
        <f>SUM(BH124:BH128)</f>
        <v>0</v>
      </c>
      <c r="BJ123" s="590">
        <f t="shared" ref="BJ123:BJ128" si="91">A123</f>
        <v>700</v>
      </c>
    </row>
    <row r="124" spans="1:62">
      <c r="A124" s="590">
        <f t="shared" ref="A124:A127" si="92">A123+1</f>
        <v>701</v>
      </c>
      <c r="B124" s="730" t="s">
        <v>1786</v>
      </c>
      <c r="H124" s="723"/>
      <c r="J124" s="723"/>
      <c r="K124" s="712"/>
      <c r="L124" s="723"/>
      <c r="M124" s="712"/>
      <c r="N124" s="723"/>
      <c r="O124" s="712"/>
      <c r="T124" s="712">
        <v>0</v>
      </c>
      <c r="U124" s="712"/>
      <c r="V124" s="712">
        <v>0</v>
      </c>
      <c r="W124" s="712"/>
      <c r="X124" s="712">
        <v>0</v>
      </c>
      <c r="Y124" s="712"/>
      <c r="Z124" s="712">
        <f>SUM(T124:X124)</f>
        <v>0</v>
      </c>
      <c r="AA124" s="712"/>
      <c r="AB124" s="712"/>
      <c r="AC124" s="712"/>
      <c r="AD124" s="723"/>
      <c r="AE124" s="712"/>
      <c r="AF124" s="723"/>
      <c r="AG124" s="712"/>
      <c r="AH124" s="723"/>
      <c r="AI124" s="712"/>
      <c r="AJ124" s="712"/>
      <c r="AK124" s="712"/>
      <c r="AL124" s="605">
        <f>+T124-AD124</f>
        <v>0</v>
      </c>
      <c r="AM124" s="712"/>
      <c r="AN124" s="605">
        <f>+V124-AF124</f>
        <v>0</v>
      </c>
      <c r="AO124" s="712"/>
      <c r="AP124" s="605">
        <f>+X124-AH124</f>
        <v>0</v>
      </c>
      <c r="AQ124" s="712"/>
      <c r="AR124" s="712">
        <f t="shared" ref="AR124:AR128" si="93">SUM(AL124:AP124)</f>
        <v>0</v>
      </c>
      <c r="AT124" s="723"/>
      <c r="AU124" s="712"/>
      <c r="AV124" s="723"/>
      <c r="AW124" s="712"/>
      <c r="AX124" s="723"/>
      <c r="AY124" s="712"/>
      <c r="AZ124" s="605">
        <f>+AL124-AT124</f>
        <v>0</v>
      </c>
      <c r="BA124" s="712"/>
      <c r="BB124" s="605">
        <f>+AN124-AV124</f>
        <v>0</v>
      </c>
      <c r="BC124" s="712"/>
      <c r="BD124" s="605">
        <f>+AP124-AX124</f>
        <v>0</v>
      </c>
      <c r="BE124" s="712"/>
      <c r="BF124" s="712">
        <f>SUM(AZ124:BD124)</f>
        <v>0</v>
      </c>
      <c r="BG124" s="712"/>
      <c r="BH124" s="712">
        <f>+BF124*$BH$9</f>
        <v>0</v>
      </c>
      <c r="BJ124" s="590">
        <f t="shared" si="91"/>
        <v>701</v>
      </c>
    </row>
    <row r="125" spans="1:62">
      <c r="A125" s="590">
        <f t="shared" si="92"/>
        <v>702</v>
      </c>
      <c r="B125" s="730" t="s">
        <v>640</v>
      </c>
      <c r="H125" s="723"/>
      <c r="J125" s="723"/>
      <c r="K125" s="712"/>
      <c r="L125" s="723"/>
      <c r="M125" s="712"/>
      <c r="N125" s="723"/>
      <c r="O125" s="712"/>
      <c r="T125" s="712">
        <v>0</v>
      </c>
      <c r="U125" s="712"/>
      <c r="V125" s="712">
        <v>0</v>
      </c>
      <c r="W125" s="712"/>
      <c r="X125" s="712">
        <v>0</v>
      </c>
      <c r="Y125" s="712"/>
      <c r="Z125" s="712">
        <f t="shared" ref="Z125:Z128" si="94">SUM(T125:X125)</f>
        <v>0</v>
      </c>
      <c r="AA125" s="712"/>
      <c r="AB125" s="712"/>
      <c r="AC125" s="712"/>
      <c r="AD125" s="723"/>
      <c r="AE125" s="712"/>
      <c r="AF125" s="723"/>
      <c r="AG125" s="712"/>
      <c r="AH125" s="723"/>
      <c r="AI125" s="712"/>
      <c r="AJ125" s="712"/>
      <c r="AK125" s="712"/>
      <c r="AL125" s="605">
        <f t="shared" ref="AL125:AP128" si="95">+T125-AD125</f>
        <v>0</v>
      </c>
      <c r="AM125" s="712"/>
      <c r="AN125" s="605">
        <f t="shared" si="95"/>
        <v>0</v>
      </c>
      <c r="AO125" s="712"/>
      <c r="AP125" s="605">
        <f t="shared" si="95"/>
        <v>0</v>
      </c>
      <c r="AQ125" s="712"/>
      <c r="AR125" s="712">
        <f t="shared" si="93"/>
        <v>0</v>
      </c>
      <c r="AT125" s="723"/>
      <c r="AU125" s="712"/>
      <c r="AV125" s="723"/>
      <c r="AW125" s="712"/>
      <c r="AX125" s="723"/>
      <c r="AY125" s="712"/>
      <c r="AZ125" s="605">
        <f t="shared" ref="AZ125:BD128" si="96">+AL125-AT125</f>
        <v>0</v>
      </c>
      <c r="BA125" s="712"/>
      <c r="BB125" s="605">
        <f t="shared" si="96"/>
        <v>0</v>
      </c>
      <c r="BC125" s="712"/>
      <c r="BD125" s="605">
        <f t="shared" si="96"/>
        <v>0</v>
      </c>
      <c r="BE125" s="712"/>
      <c r="BF125" s="712">
        <f t="shared" ref="BF125:BF128" si="97">SUM(AZ125:BD125)</f>
        <v>0</v>
      </c>
      <c r="BG125" s="712"/>
      <c r="BH125" s="712">
        <f>+BF125*$BH$9</f>
        <v>0</v>
      </c>
      <c r="BJ125" s="590">
        <f t="shared" si="91"/>
        <v>702</v>
      </c>
    </row>
    <row r="126" spans="1:62">
      <c r="A126" s="590">
        <f t="shared" si="92"/>
        <v>703</v>
      </c>
      <c r="B126" s="730" t="s">
        <v>640</v>
      </c>
      <c r="H126" s="723"/>
      <c r="J126" s="723"/>
      <c r="K126" s="712"/>
      <c r="L126" s="723"/>
      <c r="M126" s="712"/>
      <c r="N126" s="723"/>
      <c r="O126" s="712"/>
      <c r="T126" s="712">
        <v>0</v>
      </c>
      <c r="U126" s="712"/>
      <c r="V126" s="712">
        <v>0</v>
      </c>
      <c r="W126" s="712"/>
      <c r="X126" s="712">
        <v>0</v>
      </c>
      <c r="Y126" s="712"/>
      <c r="Z126" s="712">
        <f t="shared" si="94"/>
        <v>0</v>
      </c>
      <c r="AA126" s="712"/>
      <c r="AB126" s="712"/>
      <c r="AC126" s="712"/>
      <c r="AD126" s="723"/>
      <c r="AE126" s="712"/>
      <c r="AF126" s="723"/>
      <c r="AG126" s="712"/>
      <c r="AH126" s="723"/>
      <c r="AI126" s="712"/>
      <c r="AJ126" s="712"/>
      <c r="AK126" s="712"/>
      <c r="AL126" s="605">
        <f t="shared" si="95"/>
        <v>0</v>
      </c>
      <c r="AM126" s="712"/>
      <c r="AN126" s="605">
        <f t="shared" si="95"/>
        <v>0</v>
      </c>
      <c r="AO126" s="712"/>
      <c r="AP126" s="605">
        <f t="shared" si="95"/>
        <v>0</v>
      </c>
      <c r="AQ126" s="712"/>
      <c r="AR126" s="712">
        <f t="shared" si="93"/>
        <v>0</v>
      </c>
      <c r="AT126" s="723"/>
      <c r="AU126" s="712"/>
      <c r="AV126" s="723"/>
      <c r="AW126" s="712"/>
      <c r="AX126" s="723"/>
      <c r="AY126" s="712"/>
      <c r="AZ126" s="605">
        <f t="shared" si="96"/>
        <v>0</v>
      </c>
      <c r="BA126" s="712"/>
      <c r="BB126" s="605">
        <f t="shared" si="96"/>
        <v>0</v>
      </c>
      <c r="BC126" s="712"/>
      <c r="BD126" s="605">
        <f t="shared" si="96"/>
        <v>0</v>
      </c>
      <c r="BE126" s="712"/>
      <c r="BF126" s="712">
        <f t="shared" si="97"/>
        <v>0</v>
      </c>
      <c r="BG126" s="712"/>
      <c r="BH126" s="712">
        <f>+BF126*$BH$9</f>
        <v>0</v>
      </c>
      <c r="BJ126" s="590">
        <f t="shared" si="91"/>
        <v>703</v>
      </c>
    </row>
    <row r="127" spans="1:62">
      <c r="A127" s="590">
        <f t="shared" si="92"/>
        <v>704</v>
      </c>
      <c r="B127" s="730" t="s">
        <v>640</v>
      </c>
      <c r="H127" s="723"/>
      <c r="J127" s="723"/>
      <c r="K127" s="712"/>
      <c r="L127" s="723"/>
      <c r="M127" s="712"/>
      <c r="N127" s="723"/>
      <c r="O127" s="712"/>
      <c r="T127" s="712">
        <v>0</v>
      </c>
      <c r="U127" s="712"/>
      <c r="V127" s="712">
        <v>0</v>
      </c>
      <c r="W127" s="712"/>
      <c r="X127" s="712">
        <v>0</v>
      </c>
      <c r="Y127" s="712"/>
      <c r="Z127" s="712">
        <f t="shared" si="94"/>
        <v>0</v>
      </c>
      <c r="AA127" s="712"/>
      <c r="AB127" s="712"/>
      <c r="AC127" s="712"/>
      <c r="AD127" s="723"/>
      <c r="AE127" s="712"/>
      <c r="AF127" s="723"/>
      <c r="AG127" s="712"/>
      <c r="AH127" s="723"/>
      <c r="AI127" s="712"/>
      <c r="AJ127" s="712"/>
      <c r="AK127" s="712"/>
      <c r="AL127" s="605">
        <f t="shared" si="95"/>
        <v>0</v>
      </c>
      <c r="AM127" s="712"/>
      <c r="AN127" s="605">
        <f t="shared" si="95"/>
        <v>0</v>
      </c>
      <c r="AO127" s="712"/>
      <c r="AP127" s="605">
        <f t="shared" si="95"/>
        <v>0</v>
      </c>
      <c r="AQ127" s="712"/>
      <c r="AR127" s="712">
        <f t="shared" si="93"/>
        <v>0</v>
      </c>
      <c r="AT127" s="723"/>
      <c r="AU127" s="712"/>
      <c r="AV127" s="723"/>
      <c r="AW127" s="712"/>
      <c r="AX127" s="723"/>
      <c r="AY127" s="712"/>
      <c r="AZ127" s="605">
        <f t="shared" si="96"/>
        <v>0</v>
      </c>
      <c r="BA127" s="712"/>
      <c r="BB127" s="605">
        <f t="shared" si="96"/>
        <v>0</v>
      </c>
      <c r="BC127" s="712"/>
      <c r="BD127" s="605">
        <f t="shared" si="96"/>
        <v>0</v>
      </c>
      <c r="BE127" s="712"/>
      <c r="BF127" s="712">
        <f t="shared" si="97"/>
        <v>0</v>
      </c>
      <c r="BG127" s="712"/>
      <c r="BH127" s="712">
        <f>+BF127*$BH$9</f>
        <v>0</v>
      </c>
      <c r="BJ127" s="590">
        <f t="shared" si="91"/>
        <v>704</v>
      </c>
    </row>
    <row r="128" spans="1:62">
      <c r="A128" s="590">
        <f>+A127+1</f>
        <v>705</v>
      </c>
      <c r="B128" s="730" t="s">
        <v>640</v>
      </c>
      <c r="H128" s="723"/>
      <c r="J128" s="723"/>
      <c r="K128" s="712"/>
      <c r="L128" s="723"/>
      <c r="M128" s="712"/>
      <c r="N128" s="723"/>
      <c r="O128" s="712"/>
      <c r="T128" s="712">
        <v>0</v>
      </c>
      <c r="U128" s="712"/>
      <c r="V128" s="712">
        <v>0</v>
      </c>
      <c r="W128" s="712"/>
      <c r="X128" s="712">
        <v>0</v>
      </c>
      <c r="Y128" s="712"/>
      <c r="Z128" s="712">
        <f t="shared" si="94"/>
        <v>0</v>
      </c>
      <c r="AA128" s="712"/>
      <c r="AB128" s="712"/>
      <c r="AC128" s="712"/>
      <c r="AD128" s="723"/>
      <c r="AE128" s="712"/>
      <c r="AF128" s="723"/>
      <c r="AG128" s="712"/>
      <c r="AH128" s="723"/>
      <c r="AI128" s="712"/>
      <c r="AJ128" s="712"/>
      <c r="AK128" s="712"/>
      <c r="AL128" s="605">
        <f t="shared" si="95"/>
        <v>0</v>
      </c>
      <c r="AM128" s="712"/>
      <c r="AN128" s="605">
        <f t="shared" si="95"/>
        <v>0</v>
      </c>
      <c r="AO128" s="712"/>
      <c r="AP128" s="605">
        <f t="shared" si="95"/>
        <v>0</v>
      </c>
      <c r="AQ128" s="712"/>
      <c r="AR128" s="712">
        <f t="shared" si="93"/>
        <v>0</v>
      </c>
      <c r="AT128" s="723"/>
      <c r="AU128" s="712"/>
      <c r="AV128" s="723"/>
      <c r="AW128" s="712"/>
      <c r="AX128" s="723"/>
      <c r="AY128" s="712"/>
      <c r="AZ128" s="605">
        <f t="shared" si="96"/>
        <v>0</v>
      </c>
      <c r="BA128" s="712"/>
      <c r="BB128" s="605">
        <f t="shared" si="96"/>
        <v>0</v>
      </c>
      <c r="BC128" s="712"/>
      <c r="BD128" s="605">
        <f t="shared" si="96"/>
        <v>0</v>
      </c>
      <c r="BE128" s="712"/>
      <c r="BF128" s="712">
        <f t="shared" si="97"/>
        <v>0</v>
      </c>
      <c r="BG128" s="712"/>
      <c r="BH128" s="712">
        <f>+BF128*$BH$9</f>
        <v>0</v>
      </c>
      <c r="BJ128" s="590">
        <f t="shared" si="91"/>
        <v>705</v>
      </c>
    </row>
    <row r="132" spans="1:6">
      <c r="A132" s="705" t="s">
        <v>125</v>
      </c>
      <c r="B132" s="839" t="s">
        <v>1857</v>
      </c>
      <c r="C132" s="839"/>
      <c r="D132" s="839"/>
    </row>
    <row r="133" spans="1:6" ht="24" customHeight="1">
      <c r="A133" s="704" t="s">
        <v>1736</v>
      </c>
      <c r="B133" s="835" t="s">
        <v>1858</v>
      </c>
      <c r="C133" s="835"/>
      <c r="D133" s="835"/>
    </row>
    <row r="134" spans="1:6">
      <c r="A134" s="704" t="s">
        <v>1737</v>
      </c>
      <c r="B134" s="835" t="s">
        <v>1859</v>
      </c>
      <c r="C134" s="835"/>
      <c r="D134" s="835"/>
    </row>
    <row r="135" spans="1:6">
      <c r="A135" s="704" t="s">
        <v>1738</v>
      </c>
      <c r="B135" s="835" t="s">
        <v>1744</v>
      </c>
      <c r="C135" s="835"/>
      <c r="D135" s="835"/>
    </row>
    <row r="136" spans="1:6">
      <c r="A136" s="704" t="s">
        <v>1739</v>
      </c>
      <c r="B136" s="835" t="s">
        <v>1745</v>
      </c>
      <c r="C136" s="835"/>
      <c r="D136" s="835"/>
    </row>
    <row r="137" spans="1:6">
      <c r="A137" s="704" t="s">
        <v>1740</v>
      </c>
      <c r="B137" s="835" t="s">
        <v>1746</v>
      </c>
      <c r="C137" s="835"/>
      <c r="D137" s="835"/>
    </row>
    <row r="138" spans="1:6" ht="12.75" customHeight="1">
      <c r="A138" s="704" t="s">
        <v>1747</v>
      </c>
      <c r="B138" s="835" t="s">
        <v>1748</v>
      </c>
      <c r="C138" s="835"/>
      <c r="D138" s="835"/>
      <c r="E138" s="732"/>
      <c r="F138" s="732"/>
    </row>
    <row r="139" spans="1:6">
      <c r="A139" s="704" t="s">
        <v>1749</v>
      </c>
      <c r="B139" s="835" t="s">
        <v>1750</v>
      </c>
      <c r="C139" s="835"/>
      <c r="D139" s="835"/>
    </row>
  </sheetData>
  <mergeCells count="17">
    <mergeCell ref="B135:D135"/>
    <mergeCell ref="B136:D136"/>
    <mergeCell ref="B137:D137"/>
    <mergeCell ref="B138:D138"/>
    <mergeCell ref="B139:D139"/>
    <mergeCell ref="B134:D134"/>
    <mergeCell ref="J4:N4"/>
    <mergeCell ref="T4:X4"/>
    <mergeCell ref="AL4:AP4"/>
    <mergeCell ref="AZ4:BD4"/>
    <mergeCell ref="AD6:AH6"/>
    <mergeCell ref="AT6:AX6"/>
    <mergeCell ref="T7:Z7"/>
    <mergeCell ref="AL7:AR7"/>
    <mergeCell ref="AZ7:BF7"/>
    <mergeCell ref="B132:D132"/>
    <mergeCell ref="B133:D133"/>
  </mergeCells>
  <printOptions horizontalCentered="1"/>
  <pageMargins left="1" right="1" top="1" bottom="1" header="0.5" footer="0.5"/>
  <pageSetup scale="15" fitToHeight="0" orientation="landscape" r:id="rId1"/>
  <headerFooter>
    <oddHeader xml:space="preserve">&amp;C&amp;"-,Bold"Pacific Gas and Electric Company
Formula Rate Model
Schedule &amp;A&amp;R&amp;10Docket No. ER19-13-000, et al- Annual Update RY2024
&amp;F
</oddHeader>
  </headerFooter>
  <colBreaks count="3" manualBreakCount="3">
    <brk id="17" max="1048575" man="1"/>
    <brk id="37" max="1048575" man="1"/>
    <brk id="51" max="1048575" man="1"/>
  </colBreaks>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6"/>
  <sheetViews>
    <sheetView tabSelected="1" view="pageBreakPreview" zoomScale="55" zoomScaleNormal="100" zoomScaleSheetLayoutView="55" zoomScalePageLayoutView="55" workbookViewId="0">
      <selection activeCell="P108" sqref="P108"/>
    </sheetView>
  </sheetViews>
  <sheetFormatPr defaultColWidth="9.1796875" defaultRowHeight="14.5"/>
  <cols>
    <col min="1" max="1" width="7.1796875" bestFit="1" customWidth="1"/>
    <col min="2" max="2" width="8.81640625" customWidth="1"/>
    <col min="3" max="3" width="37.1796875" customWidth="1"/>
    <col min="4" max="5" width="17.81640625" bestFit="1" customWidth="1"/>
    <col min="6" max="6" width="18.26953125" bestFit="1" customWidth="1"/>
    <col min="7" max="7" width="16.7265625" bestFit="1" customWidth="1"/>
    <col min="8" max="9" width="17.7265625" bestFit="1" customWidth="1"/>
    <col min="10" max="10" width="16.453125" bestFit="1" customWidth="1"/>
    <col min="11" max="12" width="18.26953125" bestFit="1" customWidth="1"/>
    <col min="13" max="13" width="17.81640625" customWidth="1"/>
    <col min="14" max="14" width="17.26953125" bestFit="1" customWidth="1"/>
    <col min="15" max="15" width="17.453125" bestFit="1" customWidth="1"/>
    <col min="16" max="16" width="21.7265625" bestFit="1" customWidth="1"/>
    <col min="17" max="17" width="9.1796875" customWidth="1"/>
  </cols>
  <sheetData>
    <row r="1" spans="1:17">
      <c r="B1" s="12" t="s">
        <v>754</v>
      </c>
      <c r="L1" s="15"/>
      <c r="P1" s="15" t="str">
        <f>CONCATENATE("Prior Year: ",'1-BaseTRR'!$F$2)</f>
        <v>Prior Year: 2022</v>
      </c>
    </row>
    <row r="2" spans="1:17">
      <c r="B2" s="117" t="s">
        <v>196</v>
      </c>
      <c r="C2" s="49"/>
      <c r="L2" s="15"/>
      <c r="M2" s="15"/>
    </row>
    <row r="4" spans="1:17" ht="15" customHeight="1">
      <c r="B4" s="142" t="s">
        <v>1086</v>
      </c>
      <c r="C4" s="12"/>
      <c r="D4" s="12"/>
      <c r="F4" s="424">
        <f>P10</f>
        <v>632960218.36720455</v>
      </c>
    </row>
    <row r="5" spans="1:17">
      <c r="A5" s="13"/>
      <c r="I5" s="337"/>
      <c r="N5" s="13"/>
    </row>
    <row r="6" spans="1:17">
      <c r="B6" s="13" t="s">
        <v>100</v>
      </c>
      <c r="C6" s="13" t="s">
        <v>101</v>
      </c>
      <c r="D6" s="13" t="s">
        <v>102</v>
      </c>
      <c r="E6" s="13" t="s">
        <v>103</v>
      </c>
      <c r="F6" s="13" t="s">
        <v>104</v>
      </c>
      <c r="G6" s="13" t="s">
        <v>105</v>
      </c>
      <c r="H6" s="13" t="s">
        <v>106</v>
      </c>
      <c r="I6" s="13" t="s">
        <v>107</v>
      </c>
      <c r="J6" s="13" t="s">
        <v>108</v>
      </c>
      <c r="K6" s="13" t="s">
        <v>271</v>
      </c>
      <c r="L6" s="13" t="s">
        <v>272</v>
      </c>
      <c r="M6" s="13" t="s">
        <v>273</v>
      </c>
      <c r="N6" s="13" t="s">
        <v>274</v>
      </c>
      <c r="O6" s="13" t="s">
        <v>275</v>
      </c>
      <c r="P6" s="13" t="s">
        <v>753</v>
      </c>
      <c r="Q6" s="13"/>
    </row>
    <row r="7" spans="1:17">
      <c r="A7" s="16" t="s">
        <v>54</v>
      </c>
      <c r="B7" s="30"/>
      <c r="C7" s="30"/>
      <c r="D7" s="30" t="s">
        <v>125</v>
      </c>
      <c r="E7" s="30" t="s">
        <v>125</v>
      </c>
      <c r="F7" s="154" t="s">
        <v>752</v>
      </c>
      <c r="G7" s="30" t="s">
        <v>1326</v>
      </c>
      <c r="H7" s="30" t="s">
        <v>1326</v>
      </c>
      <c r="I7" s="30" t="s">
        <v>751</v>
      </c>
      <c r="J7" s="30" t="s">
        <v>750</v>
      </c>
      <c r="K7" s="30" t="s">
        <v>749</v>
      </c>
      <c r="L7" s="30" t="s">
        <v>748</v>
      </c>
      <c r="M7" s="30" t="s">
        <v>169</v>
      </c>
      <c r="N7" s="30" t="s">
        <v>747</v>
      </c>
      <c r="O7" s="30" t="s">
        <v>746</v>
      </c>
      <c r="P7" s="30" t="s">
        <v>745</v>
      </c>
    </row>
    <row r="8" spans="1:17" ht="28.5" customHeight="1">
      <c r="B8" s="847" t="s">
        <v>330</v>
      </c>
      <c r="C8" s="849" t="s">
        <v>744</v>
      </c>
      <c r="D8" s="850" t="s">
        <v>2054</v>
      </c>
      <c r="E8" s="851"/>
      <c r="F8" s="851"/>
      <c r="G8" s="840" t="s">
        <v>333</v>
      </c>
      <c r="H8" s="841"/>
      <c r="I8" s="842"/>
      <c r="J8" s="843" t="s">
        <v>743</v>
      </c>
      <c r="K8" s="843"/>
      <c r="L8" s="843"/>
      <c r="M8" s="847" t="s">
        <v>742</v>
      </c>
      <c r="N8" s="843" t="s">
        <v>741</v>
      </c>
      <c r="O8" s="843"/>
      <c r="P8" s="843"/>
    </row>
    <row r="9" spans="1:17">
      <c r="A9" s="13" t="s">
        <v>124</v>
      </c>
      <c r="B9" s="848"/>
      <c r="C9" s="849"/>
      <c r="D9" s="336" t="s">
        <v>625</v>
      </c>
      <c r="E9" s="336" t="s">
        <v>740</v>
      </c>
      <c r="F9" s="336" t="s">
        <v>361</v>
      </c>
      <c r="G9" s="336" t="s">
        <v>625</v>
      </c>
      <c r="H9" s="336" t="s">
        <v>740</v>
      </c>
      <c r="I9" s="336" t="s">
        <v>361</v>
      </c>
      <c r="J9" s="336" t="s">
        <v>625</v>
      </c>
      <c r="K9" s="336" t="s">
        <v>740</v>
      </c>
      <c r="L9" s="336" t="s">
        <v>361</v>
      </c>
      <c r="M9" s="848"/>
      <c r="N9" s="336" t="s">
        <v>625</v>
      </c>
      <c r="O9" s="336" t="s">
        <v>740</v>
      </c>
      <c r="P9" s="336" t="s">
        <v>361</v>
      </c>
      <c r="Q9" s="13" t="s">
        <v>124</v>
      </c>
    </row>
    <row r="10" spans="1:17" ht="15" thickBot="1">
      <c r="A10" s="8">
        <v>100</v>
      </c>
      <c r="B10" s="846" t="s">
        <v>739</v>
      </c>
      <c r="C10" s="846"/>
      <c r="D10" s="532">
        <f t="shared" ref="D10:L10" si="0">SUM(D11:D37)</f>
        <v>187668387.97000003</v>
      </c>
      <c r="E10" s="532">
        <f t="shared" si="0"/>
        <v>551832295.92999983</v>
      </c>
      <c r="F10" s="532">
        <f t="shared" si="0"/>
        <v>739500683.89999974</v>
      </c>
      <c r="G10" s="532">
        <f t="shared" si="0"/>
        <v>-6787772.8133999994</v>
      </c>
      <c r="H10" s="532">
        <f t="shared" si="0"/>
        <v>-67654825.84420003</v>
      </c>
      <c r="I10" s="532">
        <f t="shared" si="0"/>
        <v>-74442598.65760003</v>
      </c>
      <c r="J10" s="532">
        <f t="shared" si="0"/>
        <v>180880615.1566</v>
      </c>
      <c r="K10" s="532">
        <f t="shared" si="0"/>
        <v>484177470.08579975</v>
      </c>
      <c r="L10" s="532">
        <f t="shared" si="0"/>
        <v>665058085.24239969</v>
      </c>
      <c r="M10" s="532"/>
      <c r="N10" s="532">
        <f>SUM(N11:N37)</f>
        <v>172133955.29521492</v>
      </c>
      <c r="O10" s="532">
        <f>SUM(O11:O37)</f>
        <v>460826263.07198972</v>
      </c>
      <c r="P10" s="532">
        <f>SUM(P11:P37)</f>
        <v>632960218.36720455</v>
      </c>
      <c r="Q10" s="8">
        <f>A10</f>
        <v>100</v>
      </c>
    </row>
    <row r="11" spans="1:17" ht="15" thickTop="1">
      <c r="A11" s="8">
        <f>A10+1</f>
        <v>101</v>
      </c>
      <c r="B11" s="162">
        <v>560</v>
      </c>
      <c r="C11" s="44" t="s">
        <v>738</v>
      </c>
      <c r="D11" s="497">
        <v>2672130.9200000004</v>
      </c>
      <c r="E11" s="497">
        <v>608495.79999999981</v>
      </c>
      <c r="F11" s="442">
        <f t="shared" ref="F11:F37" si="1">D11+E11</f>
        <v>3280626.72</v>
      </c>
      <c r="G11" s="497">
        <v>0</v>
      </c>
      <c r="H11" s="497">
        <v>0</v>
      </c>
      <c r="I11" s="442">
        <f>G11+H11</f>
        <v>0</v>
      </c>
      <c r="J11" s="442">
        <f t="shared" ref="J11:J37" si="2">D11+G11</f>
        <v>2672130.9200000004</v>
      </c>
      <c r="K11" s="442">
        <f t="shared" ref="K11:K37" si="3">E11+H11</f>
        <v>608495.79999999981</v>
      </c>
      <c r="L11" s="442">
        <f t="shared" ref="L11:L37" si="4">J11+K11</f>
        <v>3280626.72</v>
      </c>
      <c r="M11" s="335">
        <f>'24-Allocators'!$C$37</f>
        <v>0.95164401749843386</v>
      </c>
      <c r="N11" s="446">
        <f t="shared" ref="N11:N37" si="5">J11*M11</f>
        <v>2542917.4039905868</v>
      </c>
      <c r="O11" s="446">
        <f t="shared" ref="O11:O37" si="6">K11*M11</f>
        <v>579071.38774292334</v>
      </c>
      <c r="P11" s="446">
        <f t="shared" ref="P11:P37" si="7">N11+O11</f>
        <v>3121988.7917335099</v>
      </c>
      <c r="Q11" s="8">
        <f t="shared" ref="Q11:Q37" si="8">A11</f>
        <v>101</v>
      </c>
    </row>
    <row r="12" spans="1:17">
      <c r="A12" s="8">
        <f t="shared" ref="A12:A37" si="9">A11+1</f>
        <v>102</v>
      </c>
      <c r="B12" s="162">
        <v>561.1</v>
      </c>
      <c r="C12" s="44" t="s">
        <v>737</v>
      </c>
      <c r="D12" s="497">
        <v>0</v>
      </c>
      <c r="E12" s="497">
        <v>0</v>
      </c>
      <c r="F12" s="442">
        <f t="shared" si="1"/>
        <v>0</v>
      </c>
      <c r="G12" s="497">
        <v>0</v>
      </c>
      <c r="H12" s="497">
        <v>0</v>
      </c>
      <c r="I12" s="442">
        <f t="shared" ref="I12:I37" si="10">G12+H12</f>
        <v>0</v>
      </c>
      <c r="J12" s="442">
        <f t="shared" si="2"/>
        <v>0</v>
      </c>
      <c r="K12" s="442">
        <f t="shared" si="3"/>
        <v>0</v>
      </c>
      <c r="L12" s="442">
        <f t="shared" si="4"/>
        <v>0</v>
      </c>
      <c r="M12" s="335">
        <f>'24-Allocators'!$C$37</f>
        <v>0.95164401749843386</v>
      </c>
      <c r="N12" s="446">
        <f t="shared" si="5"/>
        <v>0</v>
      </c>
      <c r="O12" s="446">
        <f t="shared" si="6"/>
        <v>0</v>
      </c>
      <c r="P12" s="446">
        <f t="shared" si="7"/>
        <v>0</v>
      </c>
      <c r="Q12" s="8">
        <f t="shared" si="8"/>
        <v>102</v>
      </c>
    </row>
    <row r="13" spans="1:17" ht="29">
      <c r="A13" s="8">
        <f t="shared" si="9"/>
        <v>103</v>
      </c>
      <c r="B13" s="162">
        <v>561.20000000000005</v>
      </c>
      <c r="C13" s="306" t="s">
        <v>1122</v>
      </c>
      <c r="D13" s="497">
        <v>37617810.289999999</v>
      </c>
      <c r="E13" s="497">
        <v>5795663.9100000001</v>
      </c>
      <c r="F13" s="442">
        <f t="shared" si="1"/>
        <v>43413474.200000003</v>
      </c>
      <c r="G13" s="497">
        <v>0</v>
      </c>
      <c r="H13" s="497">
        <v>0</v>
      </c>
      <c r="I13" s="442">
        <f t="shared" si="10"/>
        <v>0</v>
      </c>
      <c r="J13" s="442">
        <f t="shared" si="2"/>
        <v>37617810.289999999</v>
      </c>
      <c r="K13" s="442">
        <f t="shared" si="3"/>
        <v>5795663.9100000001</v>
      </c>
      <c r="L13" s="442">
        <f t="shared" si="4"/>
        <v>43413474.200000003</v>
      </c>
      <c r="M13" s="335">
        <f>'24-Allocators'!$C$37</f>
        <v>0.95164401749843386</v>
      </c>
      <c r="N13" s="446">
        <f t="shared" si="5"/>
        <v>35798764.113869525</v>
      </c>
      <c r="O13" s="446">
        <f t="shared" si="6"/>
        <v>5515408.887383082</v>
      </c>
      <c r="P13" s="446">
        <f t="shared" si="7"/>
        <v>41314173.001252607</v>
      </c>
      <c r="Q13" s="8">
        <f t="shared" si="8"/>
        <v>103</v>
      </c>
    </row>
    <row r="14" spans="1:17" ht="29">
      <c r="A14" s="8">
        <f t="shared" si="9"/>
        <v>104</v>
      </c>
      <c r="B14" s="162">
        <v>561.30000000000007</v>
      </c>
      <c r="C14" s="44" t="s">
        <v>1123</v>
      </c>
      <c r="D14" s="497">
        <v>0</v>
      </c>
      <c r="E14" s="497">
        <v>0</v>
      </c>
      <c r="F14" s="442">
        <f t="shared" si="1"/>
        <v>0</v>
      </c>
      <c r="G14" s="497">
        <v>0</v>
      </c>
      <c r="H14" s="497">
        <v>0</v>
      </c>
      <c r="I14" s="442">
        <f t="shared" si="10"/>
        <v>0</v>
      </c>
      <c r="J14" s="442">
        <f t="shared" si="2"/>
        <v>0</v>
      </c>
      <c r="K14" s="442">
        <f t="shared" si="3"/>
        <v>0</v>
      </c>
      <c r="L14" s="442">
        <f t="shared" si="4"/>
        <v>0</v>
      </c>
      <c r="M14" s="335">
        <f>'24-Allocators'!$C$37</f>
        <v>0.95164401749843386</v>
      </c>
      <c r="N14" s="446">
        <f t="shared" si="5"/>
        <v>0</v>
      </c>
      <c r="O14" s="446">
        <f t="shared" si="6"/>
        <v>0</v>
      </c>
      <c r="P14" s="446">
        <f t="shared" si="7"/>
        <v>0</v>
      </c>
      <c r="Q14" s="8">
        <f t="shared" si="8"/>
        <v>104</v>
      </c>
    </row>
    <row r="15" spans="1:17" ht="29">
      <c r="A15" s="8">
        <f t="shared" si="9"/>
        <v>105</v>
      </c>
      <c r="B15" s="162">
        <v>561.40000000000009</v>
      </c>
      <c r="C15" s="306" t="s">
        <v>1265</v>
      </c>
      <c r="D15" s="497">
        <v>0</v>
      </c>
      <c r="E15" s="497">
        <v>15402504.569999998</v>
      </c>
      <c r="F15" s="442">
        <f t="shared" si="1"/>
        <v>15402504.569999998</v>
      </c>
      <c r="G15" s="497">
        <v>0</v>
      </c>
      <c r="H15" s="497">
        <v>-15402504.569999998</v>
      </c>
      <c r="I15" s="442">
        <f t="shared" si="10"/>
        <v>-15402504.569999998</v>
      </c>
      <c r="J15" s="442">
        <f t="shared" si="2"/>
        <v>0</v>
      </c>
      <c r="K15" s="442">
        <f t="shared" si="3"/>
        <v>0</v>
      </c>
      <c r="L15" s="442">
        <f t="shared" si="4"/>
        <v>0</v>
      </c>
      <c r="M15" s="335">
        <f>'24-Allocators'!$C$37</f>
        <v>0.95164401749843386</v>
      </c>
      <c r="N15" s="446">
        <f t="shared" si="5"/>
        <v>0</v>
      </c>
      <c r="O15" s="446">
        <f t="shared" si="6"/>
        <v>0</v>
      </c>
      <c r="P15" s="446">
        <f t="shared" si="7"/>
        <v>0</v>
      </c>
      <c r="Q15" s="8">
        <f t="shared" si="8"/>
        <v>105</v>
      </c>
    </row>
    <row r="16" spans="1:17" ht="29">
      <c r="A16" s="8">
        <f t="shared" si="9"/>
        <v>106</v>
      </c>
      <c r="B16" s="162">
        <v>561.50000000000011</v>
      </c>
      <c r="C16" s="44" t="s">
        <v>1124</v>
      </c>
      <c r="D16" s="497">
        <v>0</v>
      </c>
      <c r="E16" s="497">
        <v>0</v>
      </c>
      <c r="F16" s="442">
        <f t="shared" si="1"/>
        <v>0</v>
      </c>
      <c r="G16" s="497">
        <v>0</v>
      </c>
      <c r="H16" s="497">
        <v>0</v>
      </c>
      <c r="I16" s="442">
        <f t="shared" si="10"/>
        <v>0</v>
      </c>
      <c r="J16" s="442">
        <f t="shared" si="2"/>
        <v>0</v>
      </c>
      <c r="K16" s="442">
        <f t="shared" si="3"/>
        <v>0</v>
      </c>
      <c r="L16" s="442">
        <f t="shared" si="4"/>
        <v>0</v>
      </c>
      <c r="M16" s="335">
        <f>'24-Allocators'!$C$37</f>
        <v>0.95164401749843386</v>
      </c>
      <c r="N16" s="446">
        <f t="shared" si="5"/>
        <v>0</v>
      </c>
      <c r="O16" s="446">
        <f t="shared" si="6"/>
        <v>0</v>
      </c>
      <c r="P16" s="446">
        <f t="shared" si="7"/>
        <v>0</v>
      </c>
      <c r="Q16" s="8">
        <f t="shared" si="8"/>
        <v>106</v>
      </c>
    </row>
    <row r="17" spans="1:17">
      <c r="A17" s="8">
        <f t="shared" si="9"/>
        <v>107</v>
      </c>
      <c r="B17" s="162">
        <v>561.60000000000014</v>
      </c>
      <c r="C17" s="44" t="s">
        <v>1125</v>
      </c>
      <c r="D17" s="497">
        <v>0</v>
      </c>
      <c r="E17" s="497">
        <v>0</v>
      </c>
      <c r="F17" s="442">
        <f t="shared" si="1"/>
        <v>0</v>
      </c>
      <c r="G17" s="497">
        <v>0</v>
      </c>
      <c r="H17" s="497">
        <v>0</v>
      </c>
      <c r="I17" s="442">
        <f t="shared" si="10"/>
        <v>0</v>
      </c>
      <c r="J17" s="442">
        <f t="shared" si="2"/>
        <v>0</v>
      </c>
      <c r="K17" s="442">
        <f t="shared" si="3"/>
        <v>0</v>
      </c>
      <c r="L17" s="442">
        <f t="shared" si="4"/>
        <v>0</v>
      </c>
      <c r="M17" s="335">
        <f>'24-Allocators'!$C$37</f>
        <v>0.95164401749843386</v>
      </c>
      <c r="N17" s="446">
        <f t="shared" si="5"/>
        <v>0</v>
      </c>
      <c r="O17" s="446">
        <f t="shared" si="6"/>
        <v>0</v>
      </c>
      <c r="P17" s="446">
        <f t="shared" si="7"/>
        <v>0</v>
      </c>
      <c r="Q17" s="8">
        <f t="shared" si="8"/>
        <v>107</v>
      </c>
    </row>
    <row r="18" spans="1:17">
      <c r="A18" s="8">
        <f t="shared" si="9"/>
        <v>108</v>
      </c>
      <c r="B18" s="162">
        <v>561.70000000000016</v>
      </c>
      <c r="C18" s="44" t="s">
        <v>1126</v>
      </c>
      <c r="D18" s="497">
        <v>0</v>
      </c>
      <c r="E18" s="497">
        <v>0</v>
      </c>
      <c r="F18" s="442">
        <f t="shared" si="1"/>
        <v>0</v>
      </c>
      <c r="G18" s="497">
        <v>0</v>
      </c>
      <c r="H18" s="497">
        <v>0</v>
      </c>
      <c r="I18" s="442">
        <f t="shared" si="10"/>
        <v>0</v>
      </c>
      <c r="J18" s="442">
        <f t="shared" si="2"/>
        <v>0</v>
      </c>
      <c r="K18" s="442">
        <f t="shared" si="3"/>
        <v>0</v>
      </c>
      <c r="L18" s="442">
        <f t="shared" si="4"/>
        <v>0</v>
      </c>
      <c r="M18" s="335">
        <f>'24-Allocators'!$C$37</f>
        <v>0.95164401749843386</v>
      </c>
      <c r="N18" s="446">
        <f t="shared" si="5"/>
        <v>0</v>
      </c>
      <c r="O18" s="446">
        <f t="shared" si="6"/>
        <v>0</v>
      </c>
      <c r="P18" s="446">
        <f t="shared" si="7"/>
        <v>0</v>
      </c>
      <c r="Q18" s="8">
        <f t="shared" si="8"/>
        <v>108</v>
      </c>
    </row>
    <row r="19" spans="1:17" ht="29">
      <c r="A19" s="8">
        <f t="shared" si="9"/>
        <v>109</v>
      </c>
      <c r="B19" s="162">
        <v>561.80000000000018</v>
      </c>
      <c r="C19" s="306" t="s">
        <v>1264</v>
      </c>
      <c r="D19" s="497">
        <v>0</v>
      </c>
      <c r="E19" s="497">
        <v>6888929.8999999994</v>
      </c>
      <c r="F19" s="442">
        <f t="shared" si="1"/>
        <v>6888929.8999999994</v>
      </c>
      <c r="G19" s="497">
        <v>0</v>
      </c>
      <c r="H19" s="497">
        <v>-6888929.8999999994</v>
      </c>
      <c r="I19" s="442">
        <f t="shared" si="10"/>
        <v>-6888929.8999999994</v>
      </c>
      <c r="J19" s="442">
        <f t="shared" si="2"/>
        <v>0</v>
      </c>
      <c r="K19" s="442">
        <f t="shared" si="3"/>
        <v>0</v>
      </c>
      <c r="L19" s="442">
        <f t="shared" si="4"/>
        <v>0</v>
      </c>
      <c r="M19" s="335">
        <f>'24-Allocators'!$C$37</f>
        <v>0.95164401749843386</v>
      </c>
      <c r="N19" s="446">
        <f t="shared" si="5"/>
        <v>0</v>
      </c>
      <c r="O19" s="446">
        <f t="shared" si="6"/>
        <v>0</v>
      </c>
      <c r="P19" s="446">
        <f t="shared" si="7"/>
        <v>0</v>
      </c>
      <c r="Q19" s="8">
        <f t="shared" si="8"/>
        <v>109</v>
      </c>
    </row>
    <row r="20" spans="1:17">
      <c r="A20" s="8">
        <f t="shared" si="9"/>
        <v>110</v>
      </c>
      <c r="B20" s="162">
        <v>562</v>
      </c>
      <c r="C20" s="44" t="s">
        <v>736</v>
      </c>
      <c r="D20" s="497">
        <v>8281343</v>
      </c>
      <c r="E20" s="497">
        <v>5706785.7899999991</v>
      </c>
      <c r="F20" s="442">
        <f t="shared" si="1"/>
        <v>13988128.789999999</v>
      </c>
      <c r="G20" s="497">
        <v>-1214897.08</v>
      </c>
      <c r="H20" s="497">
        <v>-145273.5</v>
      </c>
      <c r="I20" s="442">
        <f t="shared" si="10"/>
        <v>-1360170.58</v>
      </c>
      <c r="J20" s="442">
        <f t="shared" si="2"/>
        <v>7066445.9199999999</v>
      </c>
      <c r="K20" s="442">
        <f t="shared" si="3"/>
        <v>5561512.2899999991</v>
      </c>
      <c r="L20" s="442">
        <f t="shared" si="4"/>
        <v>12627958.209999999</v>
      </c>
      <c r="M20" s="335">
        <f>'24-Allocators'!$C$37</f>
        <v>0.95164401749843386</v>
      </c>
      <c r="N20" s="446">
        <f t="shared" si="5"/>
        <v>6724740.9847442163</v>
      </c>
      <c r="O20" s="446">
        <f t="shared" si="6"/>
        <v>5292579.899022514</v>
      </c>
      <c r="P20" s="446">
        <f t="shared" si="7"/>
        <v>12017320.883766729</v>
      </c>
      <c r="Q20" s="8">
        <f t="shared" si="8"/>
        <v>110</v>
      </c>
    </row>
    <row r="21" spans="1:17">
      <c r="A21" s="8">
        <f t="shared" si="9"/>
        <v>111</v>
      </c>
      <c r="B21" s="162">
        <v>562.1</v>
      </c>
      <c r="C21" s="44" t="s">
        <v>735</v>
      </c>
      <c r="D21" s="497">
        <v>0</v>
      </c>
      <c r="E21" s="497">
        <v>0</v>
      </c>
      <c r="F21" s="442">
        <f t="shared" si="1"/>
        <v>0</v>
      </c>
      <c r="G21" s="497">
        <v>0</v>
      </c>
      <c r="H21" s="497">
        <v>0</v>
      </c>
      <c r="I21" s="442">
        <f t="shared" si="10"/>
        <v>0</v>
      </c>
      <c r="J21" s="442">
        <f t="shared" si="2"/>
        <v>0</v>
      </c>
      <c r="K21" s="442">
        <f t="shared" si="3"/>
        <v>0</v>
      </c>
      <c r="L21" s="442">
        <f t="shared" si="4"/>
        <v>0</v>
      </c>
      <c r="M21" s="335">
        <f>'24-Allocators'!$C$37</f>
        <v>0.95164401749843386</v>
      </c>
      <c r="N21" s="446">
        <f t="shared" si="5"/>
        <v>0</v>
      </c>
      <c r="O21" s="446">
        <f t="shared" si="6"/>
        <v>0</v>
      </c>
      <c r="P21" s="446">
        <f t="shared" si="7"/>
        <v>0</v>
      </c>
      <c r="Q21" s="8">
        <f t="shared" si="8"/>
        <v>111</v>
      </c>
    </row>
    <row r="22" spans="1:17">
      <c r="A22" s="8">
        <f t="shared" si="9"/>
        <v>112</v>
      </c>
      <c r="B22" s="162">
        <v>563</v>
      </c>
      <c r="C22" s="44" t="s">
        <v>734</v>
      </c>
      <c r="D22" s="497">
        <v>15119525</v>
      </c>
      <c r="E22" s="497">
        <v>71799668.189999998</v>
      </c>
      <c r="F22" s="442">
        <f t="shared" si="1"/>
        <v>86919193.189999998</v>
      </c>
      <c r="G22" s="497">
        <v>836864.2</v>
      </c>
      <c r="H22" s="497">
        <v>3905569.91</v>
      </c>
      <c r="I22" s="442">
        <f t="shared" si="10"/>
        <v>4742434.1100000003</v>
      </c>
      <c r="J22" s="442">
        <f t="shared" si="2"/>
        <v>15956389.199999999</v>
      </c>
      <c r="K22" s="442">
        <f t="shared" si="3"/>
        <v>75705238.099999994</v>
      </c>
      <c r="L22" s="442">
        <f t="shared" si="4"/>
        <v>91661627.299999997</v>
      </c>
      <c r="M22" s="335">
        <f>'24-Allocators'!$C$37</f>
        <v>0.95164401749843386</v>
      </c>
      <c r="N22" s="446">
        <f t="shared" si="5"/>
        <v>15184802.32305662</v>
      </c>
      <c r="O22" s="446">
        <f t="shared" si="6"/>
        <v>72044436.931159496</v>
      </c>
      <c r="P22" s="446">
        <f t="shared" si="7"/>
        <v>87229239.25421612</v>
      </c>
      <c r="Q22" s="8">
        <f t="shared" si="8"/>
        <v>112</v>
      </c>
    </row>
    <row r="23" spans="1:17">
      <c r="A23" s="8">
        <f t="shared" si="9"/>
        <v>113</v>
      </c>
      <c r="B23" s="162">
        <v>564</v>
      </c>
      <c r="C23" s="44" t="s">
        <v>733</v>
      </c>
      <c r="D23" s="497">
        <v>301888.43</v>
      </c>
      <c r="E23" s="497">
        <v>32483.759999999995</v>
      </c>
      <c r="F23" s="442">
        <f t="shared" si="1"/>
        <v>334372.19</v>
      </c>
      <c r="G23" s="497">
        <v>-75635.97</v>
      </c>
      <c r="H23" s="497">
        <v>-1243.0099999999948</v>
      </c>
      <c r="I23" s="442">
        <f t="shared" si="10"/>
        <v>-76878.98</v>
      </c>
      <c r="J23" s="442">
        <f t="shared" si="2"/>
        <v>226252.46</v>
      </c>
      <c r="K23" s="442">
        <f t="shared" si="3"/>
        <v>31240.75</v>
      </c>
      <c r="L23" s="442">
        <f t="shared" si="4"/>
        <v>257493.21</v>
      </c>
      <c r="M23" s="335">
        <f>'24-Allocators'!$C$37</f>
        <v>0.95164401749843386</v>
      </c>
      <c r="N23" s="446">
        <f t="shared" si="5"/>
        <v>215311.80000330371</v>
      </c>
      <c r="O23" s="446">
        <f t="shared" si="6"/>
        <v>29730.072839664197</v>
      </c>
      <c r="P23" s="446">
        <f t="shared" si="7"/>
        <v>245041.87284296792</v>
      </c>
      <c r="Q23" s="8">
        <f t="shared" si="8"/>
        <v>113</v>
      </c>
    </row>
    <row r="24" spans="1:17">
      <c r="A24" s="8">
        <f t="shared" si="9"/>
        <v>114</v>
      </c>
      <c r="B24" s="162">
        <v>565</v>
      </c>
      <c r="C24" s="44" t="s">
        <v>732</v>
      </c>
      <c r="D24" s="497">
        <v>0</v>
      </c>
      <c r="E24" s="497">
        <v>1275338.73</v>
      </c>
      <c r="F24" s="442">
        <f t="shared" si="1"/>
        <v>1275338.73</v>
      </c>
      <c r="G24" s="497">
        <v>0</v>
      </c>
      <c r="H24" s="497">
        <v>0</v>
      </c>
      <c r="I24" s="442">
        <f t="shared" si="10"/>
        <v>0</v>
      </c>
      <c r="J24" s="442">
        <f t="shared" si="2"/>
        <v>0</v>
      </c>
      <c r="K24" s="442">
        <f t="shared" si="3"/>
        <v>1275338.73</v>
      </c>
      <c r="L24" s="442">
        <f t="shared" si="4"/>
        <v>1275338.73</v>
      </c>
      <c r="M24" s="447">
        <v>1</v>
      </c>
      <c r="N24" s="446">
        <f t="shared" si="5"/>
        <v>0</v>
      </c>
      <c r="O24" s="446">
        <f t="shared" si="6"/>
        <v>1275338.73</v>
      </c>
      <c r="P24" s="446">
        <f t="shared" si="7"/>
        <v>1275338.73</v>
      </c>
      <c r="Q24" s="8">
        <f t="shared" si="8"/>
        <v>114</v>
      </c>
    </row>
    <row r="25" spans="1:17">
      <c r="A25" s="8">
        <f t="shared" si="9"/>
        <v>115</v>
      </c>
      <c r="B25" s="162">
        <v>566</v>
      </c>
      <c r="C25" s="44" t="s">
        <v>731</v>
      </c>
      <c r="D25" s="497">
        <v>68592751.680000022</v>
      </c>
      <c r="E25" s="497">
        <v>171078897.77999994</v>
      </c>
      <c r="F25" s="442">
        <f t="shared" si="1"/>
        <v>239671649.45999998</v>
      </c>
      <c r="G25" s="497">
        <v>-6025450.663399999</v>
      </c>
      <c r="H25" s="619">
        <v>-48718130.014200032</v>
      </c>
      <c r="I25" s="442">
        <f t="shared" si="10"/>
        <v>-54743580.677600034</v>
      </c>
      <c r="J25" s="442">
        <f t="shared" si="2"/>
        <v>62567301.01660002</v>
      </c>
      <c r="K25" s="442">
        <f t="shared" si="3"/>
        <v>122360767.76579991</v>
      </c>
      <c r="L25" s="442">
        <f t="shared" si="4"/>
        <v>184928068.78239992</v>
      </c>
      <c r="M25" s="335">
        <f>'24-Allocators'!$C$37</f>
        <v>0.95164401749843386</v>
      </c>
      <c r="N25" s="446">
        <f t="shared" si="5"/>
        <v>59541797.703471087</v>
      </c>
      <c r="O25" s="446">
        <f t="shared" si="6"/>
        <v>116443892.62083869</v>
      </c>
      <c r="P25" s="446">
        <f t="shared" si="7"/>
        <v>175985690.32430977</v>
      </c>
      <c r="Q25" s="8">
        <f t="shared" si="8"/>
        <v>115</v>
      </c>
    </row>
    <row r="26" spans="1:17">
      <c r="A26" s="8">
        <f t="shared" si="9"/>
        <v>116</v>
      </c>
      <c r="B26" s="162">
        <v>567</v>
      </c>
      <c r="C26" s="44" t="s">
        <v>730</v>
      </c>
      <c r="D26" s="497">
        <v>0</v>
      </c>
      <c r="E26" s="497">
        <v>0</v>
      </c>
      <c r="F26" s="442">
        <f t="shared" si="1"/>
        <v>0</v>
      </c>
      <c r="G26" s="497">
        <v>0</v>
      </c>
      <c r="H26" s="497">
        <v>0</v>
      </c>
      <c r="I26" s="442">
        <f t="shared" si="10"/>
        <v>0</v>
      </c>
      <c r="J26" s="442">
        <f t="shared" si="2"/>
        <v>0</v>
      </c>
      <c r="K26" s="442">
        <f t="shared" si="3"/>
        <v>0</v>
      </c>
      <c r="L26" s="442">
        <f t="shared" si="4"/>
        <v>0</v>
      </c>
      <c r="M26" s="335">
        <f>'24-Allocators'!$C$37</f>
        <v>0.95164401749843386</v>
      </c>
      <c r="N26" s="446">
        <f t="shared" si="5"/>
        <v>0</v>
      </c>
      <c r="O26" s="446">
        <f t="shared" si="6"/>
        <v>0</v>
      </c>
      <c r="P26" s="446">
        <f t="shared" si="7"/>
        <v>0</v>
      </c>
      <c r="Q26" s="8">
        <f t="shared" si="8"/>
        <v>116</v>
      </c>
    </row>
    <row r="27" spans="1:17">
      <c r="A27" s="8">
        <f t="shared" si="9"/>
        <v>117</v>
      </c>
      <c r="B27" s="162">
        <v>568</v>
      </c>
      <c r="C27" s="44" t="s">
        <v>729</v>
      </c>
      <c r="D27" s="497">
        <v>988795.00000000023</v>
      </c>
      <c r="E27" s="497">
        <v>255020.65000000017</v>
      </c>
      <c r="F27" s="442">
        <f t="shared" si="1"/>
        <v>1243815.6500000004</v>
      </c>
      <c r="G27" s="497">
        <v>0</v>
      </c>
      <c r="H27" s="497">
        <v>0</v>
      </c>
      <c r="I27" s="442">
        <f t="shared" si="10"/>
        <v>0</v>
      </c>
      <c r="J27" s="442">
        <f t="shared" si="2"/>
        <v>988795.00000000023</v>
      </c>
      <c r="K27" s="442">
        <f t="shared" si="3"/>
        <v>255020.65000000017</v>
      </c>
      <c r="L27" s="442">
        <f t="shared" si="4"/>
        <v>1243815.6500000004</v>
      </c>
      <c r="M27" s="335">
        <f>'24-Allocators'!$C$37</f>
        <v>0.95164401749843386</v>
      </c>
      <c r="N27" s="446">
        <f t="shared" si="5"/>
        <v>940980.8462823641</v>
      </c>
      <c r="O27" s="446">
        <f t="shared" si="6"/>
        <v>242688.87591106215</v>
      </c>
      <c r="P27" s="446">
        <f t="shared" si="7"/>
        <v>1183669.7221934262</v>
      </c>
      <c r="Q27" s="8">
        <f t="shared" si="8"/>
        <v>117</v>
      </c>
    </row>
    <row r="28" spans="1:17">
      <c r="A28" s="8">
        <f t="shared" si="9"/>
        <v>118</v>
      </c>
      <c r="B28" s="162">
        <v>569</v>
      </c>
      <c r="C28" s="44" t="s">
        <v>1127</v>
      </c>
      <c r="D28" s="497">
        <v>182362.67</v>
      </c>
      <c r="E28" s="497">
        <v>2020811.28</v>
      </c>
      <c r="F28" s="442">
        <f t="shared" si="1"/>
        <v>2203173.9500000002</v>
      </c>
      <c r="G28" s="497">
        <v>0</v>
      </c>
      <c r="H28" s="497">
        <v>0</v>
      </c>
      <c r="I28" s="442">
        <f t="shared" si="10"/>
        <v>0</v>
      </c>
      <c r="J28" s="442">
        <f t="shared" si="2"/>
        <v>182362.67</v>
      </c>
      <c r="K28" s="442">
        <f t="shared" si="3"/>
        <v>2020811.28</v>
      </c>
      <c r="L28" s="442">
        <f t="shared" si="4"/>
        <v>2203173.9500000002</v>
      </c>
      <c r="M28" s="335">
        <f>'24-Allocators'!$C$37</f>
        <v>0.95164401749843386</v>
      </c>
      <c r="N28" s="446">
        <f t="shared" si="5"/>
        <v>173544.34392054114</v>
      </c>
      <c r="O28" s="446">
        <f t="shared" si="6"/>
        <v>1923092.9651053525</v>
      </c>
      <c r="P28" s="446">
        <f t="shared" si="7"/>
        <v>2096637.3090258937</v>
      </c>
      <c r="Q28" s="8">
        <f t="shared" si="8"/>
        <v>118</v>
      </c>
    </row>
    <row r="29" spans="1:17">
      <c r="A29" s="8">
        <f t="shared" si="9"/>
        <v>119</v>
      </c>
      <c r="B29" s="162">
        <f>B28+0.1</f>
        <v>569.1</v>
      </c>
      <c r="C29" s="44" t="s">
        <v>1128</v>
      </c>
      <c r="D29" s="497">
        <v>0</v>
      </c>
      <c r="E29" s="497">
        <v>0</v>
      </c>
      <c r="F29" s="442">
        <f t="shared" si="1"/>
        <v>0</v>
      </c>
      <c r="G29" s="497">
        <v>0</v>
      </c>
      <c r="H29" s="497">
        <v>0</v>
      </c>
      <c r="I29" s="442">
        <f t="shared" si="10"/>
        <v>0</v>
      </c>
      <c r="J29" s="442">
        <f t="shared" si="2"/>
        <v>0</v>
      </c>
      <c r="K29" s="442">
        <f t="shared" si="3"/>
        <v>0</v>
      </c>
      <c r="L29" s="442">
        <f t="shared" si="4"/>
        <v>0</v>
      </c>
      <c r="M29" s="335">
        <f>'24-Allocators'!$C$37</f>
        <v>0.95164401749843386</v>
      </c>
      <c r="N29" s="446">
        <f t="shared" si="5"/>
        <v>0</v>
      </c>
      <c r="O29" s="446">
        <f t="shared" si="6"/>
        <v>0</v>
      </c>
      <c r="P29" s="446">
        <f t="shared" si="7"/>
        <v>0</v>
      </c>
      <c r="Q29" s="8">
        <f t="shared" si="8"/>
        <v>119</v>
      </c>
    </row>
    <row r="30" spans="1:17">
      <c r="A30" s="8">
        <f t="shared" si="9"/>
        <v>120</v>
      </c>
      <c r="B30" s="162">
        <f>B29+0.1</f>
        <v>569.20000000000005</v>
      </c>
      <c r="C30" s="44" t="s">
        <v>1129</v>
      </c>
      <c r="D30" s="497">
        <v>0</v>
      </c>
      <c r="E30" s="497">
        <v>0</v>
      </c>
      <c r="F30" s="442">
        <f t="shared" si="1"/>
        <v>0</v>
      </c>
      <c r="G30" s="497">
        <v>0</v>
      </c>
      <c r="H30" s="497">
        <v>0</v>
      </c>
      <c r="I30" s="442">
        <f t="shared" si="10"/>
        <v>0</v>
      </c>
      <c r="J30" s="442">
        <f t="shared" si="2"/>
        <v>0</v>
      </c>
      <c r="K30" s="442">
        <f t="shared" si="3"/>
        <v>0</v>
      </c>
      <c r="L30" s="442">
        <f t="shared" si="4"/>
        <v>0</v>
      </c>
      <c r="M30" s="335">
        <f>'24-Allocators'!$C$37</f>
        <v>0.95164401749843386</v>
      </c>
      <c r="N30" s="446">
        <f t="shared" si="5"/>
        <v>0</v>
      </c>
      <c r="O30" s="446">
        <f t="shared" si="6"/>
        <v>0</v>
      </c>
      <c r="P30" s="446">
        <f t="shared" si="7"/>
        <v>0</v>
      </c>
      <c r="Q30" s="8">
        <f t="shared" si="8"/>
        <v>120</v>
      </c>
    </row>
    <row r="31" spans="1:17" ht="29">
      <c r="A31" s="8">
        <f t="shared" si="9"/>
        <v>121</v>
      </c>
      <c r="B31" s="162">
        <f>B30+0.1</f>
        <v>569.30000000000007</v>
      </c>
      <c r="C31" s="44" t="s">
        <v>1130</v>
      </c>
      <c r="D31" s="497">
        <v>0</v>
      </c>
      <c r="E31" s="497">
        <v>0</v>
      </c>
      <c r="F31" s="442">
        <f t="shared" si="1"/>
        <v>0</v>
      </c>
      <c r="G31" s="497">
        <v>0</v>
      </c>
      <c r="H31" s="497">
        <v>0</v>
      </c>
      <c r="I31" s="442">
        <f t="shared" si="10"/>
        <v>0</v>
      </c>
      <c r="J31" s="442">
        <f t="shared" si="2"/>
        <v>0</v>
      </c>
      <c r="K31" s="442">
        <f t="shared" si="3"/>
        <v>0</v>
      </c>
      <c r="L31" s="442">
        <f t="shared" si="4"/>
        <v>0</v>
      </c>
      <c r="M31" s="335">
        <f>'24-Allocators'!$C$37</f>
        <v>0.95164401749843386</v>
      </c>
      <c r="N31" s="446">
        <f t="shared" si="5"/>
        <v>0</v>
      </c>
      <c r="O31" s="446">
        <f t="shared" si="6"/>
        <v>0</v>
      </c>
      <c r="P31" s="446">
        <f t="shared" si="7"/>
        <v>0</v>
      </c>
      <c r="Q31" s="8">
        <f t="shared" si="8"/>
        <v>121</v>
      </c>
    </row>
    <row r="32" spans="1:17" ht="29">
      <c r="A32" s="8">
        <f t="shared" si="9"/>
        <v>122</v>
      </c>
      <c r="B32" s="162">
        <f>B31+0.1</f>
        <v>569.40000000000009</v>
      </c>
      <c r="C32" s="44" t="s">
        <v>1131</v>
      </c>
      <c r="D32" s="497">
        <v>0</v>
      </c>
      <c r="E32" s="497">
        <v>0</v>
      </c>
      <c r="F32" s="442">
        <f t="shared" si="1"/>
        <v>0</v>
      </c>
      <c r="G32" s="497">
        <v>0</v>
      </c>
      <c r="H32" s="497">
        <v>0</v>
      </c>
      <c r="I32" s="442">
        <f t="shared" si="10"/>
        <v>0</v>
      </c>
      <c r="J32" s="442">
        <f t="shared" si="2"/>
        <v>0</v>
      </c>
      <c r="K32" s="442">
        <f t="shared" si="3"/>
        <v>0</v>
      </c>
      <c r="L32" s="442">
        <f t="shared" si="4"/>
        <v>0</v>
      </c>
      <c r="M32" s="335">
        <f>'24-Allocators'!$C$37</f>
        <v>0.95164401749843386</v>
      </c>
      <c r="N32" s="446">
        <f t="shared" si="5"/>
        <v>0</v>
      </c>
      <c r="O32" s="446">
        <f t="shared" si="6"/>
        <v>0</v>
      </c>
      <c r="P32" s="446">
        <f t="shared" si="7"/>
        <v>0</v>
      </c>
      <c r="Q32" s="8">
        <f t="shared" si="8"/>
        <v>122</v>
      </c>
    </row>
    <row r="33" spans="1:17">
      <c r="A33" s="8">
        <f t="shared" si="9"/>
        <v>123</v>
      </c>
      <c r="B33" s="162">
        <v>570</v>
      </c>
      <c r="C33" s="44" t="s">
        <v>1132</v>
      </c>
      <c r="D33" s="497">
        <v>21300412.849999998</v>
      </c>
      <c r="E33" s="497">
        <v>24915245.720000003</v>
      </c>
      <c r="F33" s="442">
        <f t="shared" si="1"/>
        <v>46215658.57</v>
      </c>
      <c r="G33" s="497">
        <v>0</v>
      </c>
      <c r="H33" s="619">
        <v>0</v>
      </c>
      <c r="I33" s="442">
        <f t="shared" si="10"/>
        <v>0</v>
      </c>
      <c r="J33" s="442">
        <f t="shared" si="2"/>
        <v>21300412.849999998</v>
      </c>
      <c r="K33" s="442">
        <f t="shared" si="3"/>
        <v>24915245.720000003</v>
      </c>
      <c r="L33" s="442">
        <f t="shared" si="4"/>
        <v>46215658.57</v>
      </c>
      <c r="M33" s="335">
        <f>'24-Allocators'!$C$37</f>
        <v>0.95164401749843386</v>
      </c>
      <c r="N33" s="446">
        <f t="shared" si="5"/>
        <v>20270410.458949264</v>
      </c>
      <c r="O33" s="446">
        <f t="shared" si="6"/>
        <v>23710444.533941463</v>
      </c>
      <c r="P33" s="446">
        <f t="shared" si="7"/>
        <v>43980854.992890731</v>
      </c>
      <c r="Q33" s="8">
        <f t="shared" si="8"/>
        <v>123</v>
      </c>
    </row>
    <row r="34" spans="1:17">
      <c r="A34" s="8">
        <f t="shared" si="9"/>
        <v>124</v>
      </c>
      <c r="B34" s="162">
        <f>B33+0.1</f>
        <v>570.1</v>
      </c>
      <c r="C34" s="44" t="s">
        <v>728</v>
      </c>
      <c r="D34" s="497">
        <v>0</v>
      </c>
      <c r="E34" s="497">
        <v>0</v>
      </c>
      <c r="F34" s="442">
        <f t="shared" si="1"/>
        <v>0</v>
      </c>
      <c r="G34" s="497">
        <v>0</v>
      </c>
      <c r="H34" s="497">
        <v>0</v>
      </c>
      <c r="I34" s="442">
        <f t="shared" si="10"/>
        <v>0</v>
      </c>
      <c r="J34" s="442">
        <f t="shared" si="2"/>
        <v>0</v>
      </c>
      <c r="K34" s="442">
        <f t="shared" si="3"/>
        <v>0</v>
      </c>
      <c r="L34" s="442">
        <f t="shared" si="4"/>
        <v>0</v>
      </c>
      <c r="M34" s="335">
        <f>'24-Allocators'!$C$37</f>
        <v>0.95164401749843386</v>
      </c>
      <c r="N34" s="446">
        <f t="shared" si="5"/>
        <v>0</v>
      </c>
      <c r="O34" s="446">
        <f t="shared" si="6"/>
        <v>0</v>
      </c>
      <c r="P34" s="446">
        <f t="shared" si="7"/>
        <v>0</v>
      </c>
      <c r="Q34" s="8">
        <f t="shared" si="8"/>
        <v>124</v>
      </c>
    </row>
    <row r="35" spans="1:17">
      <c r="A35" s="8">
        <f t="shared" si="9"/>
        <v>125</v>
      </c>
      <c r="B35" s="162">
        <v>571</v>
      </c>
      <c r="C35" s="44" t="s">
        <v>727</v>
      </c>
      <c r="D35" s="497">
        <v>31511165.02999999</v>
      </c>
      <c r="E35" s="497">
        <v>244039151.23999986</v>
      </c>
      <c r="F35" s="442">
        <f t="shared" si="1"/>
        <v>275550316.26999986</v>
      </c>
      <c r="G35" s="497">
        <v>-308653.3</v>
      </c>
      <c r="H35" s="619">
        <v>-377032.84</v>
      </c>
      <c r="I35" s="442">
        <f t="shared" si="10"/>
        <v>-685686.14</v>
      </c>
      <c r="J35" s="442">
        <f t="shared" si="2"/>
        <v>31202511.729999989</v>
      </c>
      <c r="K35" s="442">
        <f t="shared" si="3"/>
        <v>243662118.39999986</v>
      </c>
      <c r="L35" s="442">
        <f t="shared" si="4"/>
        <v>274864630.12999988</v>
      </c>
      <c r="M35" s="335">
        <f>'24-Allocators'!$C$37</f>
        <v>0.95164401749843386</v>
      </c>
      <c r="N35" s="446">
        <f t="shared" si="5"/>
        <v>29693683.618779197</v>
      </c>
      <c r="O35" s="446">
        <f t="shared" si="6"/>
        <v>231879597.26635492</v>
      </c>
      <c r="P35" s="446">
        <f t="shared" si="7"/>
        <v>261573280.8851341</v>
      </c>
      <c r="Q35" s="8">
        <f t="shared" si="8"/>
        <v>125</v>
      </c>
    </row>
    <row r="36" spans="1:17">
      <c r="A36" s="8">
        <f t="shared" si="9"/>
        <v>126</v>
      </c>
      <c r="B36" s="162">
        <v>572</v>
      </c>
      <c r="C36" s="44" t="s">
        <v>726</v>
      </c>
      <c r="D36" s="497">
        <v>1067988.72</v>
      </c>
      <c r="E36" s="497">
        <v>1430012.45</v>
      </c>
      <c r="F36" s="442">
        <f t="shared" si="1"/>
        <v>2498001.17</v>
      </c>
      <c r="G36" s="497">
        <v>0</v>
      </c>
      <c r="H36" s="497">
        <v>0</v>
      </c>
      <c r="I36" s="442">
        <f t="shared" si="10"/>
        <v>0</v>
      </c>
      <c r="J36" s="442">
        <f t="shared" si="2"/>
        <v>1067988.72</v>
      </c>
      <c r="K36" s="442">
        <f t="shared" si="3"/>
        <v>1430012.45</v>
      </c>
      <c r="L36" s="442">
        <f t="shared" si="4"/>
        <v>2498001.17</v>
      </c>
      <c r="M36" s="335">
        <f>'24-Allocators'!$C$37</f>
        <v>0.95164401749843386</v>
      </c>
      <c r="N36" s="446">
        <f t="shared" si="5"/>
        <v>1016345.0761438099</v>
      </c>
      <c r="O36" s="446">
        <f t="shared" si="6"/>
        <v>1360862.7929907783</v>
      </c>
      <c r="P36" s="446">
        <f t="shared" si="7"/>
        <v>2377207.8691345882</v>
      </c>
      <c r="Q36" s="8">
        <f t="shared" si="8"/>
        <v>126</v>
      </c>
    </row>
    <row r="37" spans="1:17" ht="29">
      <c r="A37" s="8">
        <f t="shared" si="9"/>
        <v>127</v>
      </c>
      <c r="B37" s="162">
        <v>573</v>
      </c>
      <c r="C37" s="44" t="s">
        <v>1133</v>
      </c>
      <c r="D37" s="497">
        <v>32214.380000000005</v>
      </c>
      <c r="E37" s="497">
        <v>583286.16</v>
      </c>
      <c r="F37" s="442">
        <f t="shared" si="1"/>
        <v>615500.54</v>
      </c>
      <c r="G37" s="497">
        <v>0</v>
      </c>
      <c r="H37" s="497">
        <v>-27281.919999999998</v>
      </c>
      <c r="I37" s="442">
        <f t="shared" si="10"/>
        <v>-27281.919999999998</v>
      </c>
      <c r="J37" s="442">
        <f t="shared" si="2"/>
        <v>32214.380000000005</v>
      </c>
      <c r="K37" s="442">
        <f t="shared" si="3"/>
        <v>556004.24</v>
      </c>
      <c r="L37" s="442">
        <f t="shared" si="4"/>
        <v>588218.62</v>
      </c>
      <c r="M37" s="335">
        <f>'24-Allocators'!$C$37</f>
        <v>0.95164401749843386</v>
      </c>
      <c r="N37" s="446">
        <f t="shared" si="5"/>
        <v>30656.622004421202</v>
      </c>
      <c r="O37" s="446">
        <f t="shared" si="6"/>
        <v>529118.10869976343</v>
      </c>
      <c r="P37" s="446">
        <f t="shared" si="7"/>
        <v>559774.73070418462</v>
      </c>
      <c r="Q37" s="8">
        <f t="shared" si="8"/>
        <v>127</v>
      </c>
    </row>
    <row r="38" spans="1:17">
      <c r="C38" s="12"/>
      <c r="D38" s="333"/>
      <c r="E38" s="333"/>
      <c r="F38" s="25"/>
      <c r="G38" s="334"/>
      <c r="H38" s="334"/>
      <c r="I38" s="333"/>
      <c r="J38" s="333"/>
      <c r="K38" s="333"/>
      <c r="L38" s="333"/>
      <c r="M38" s="8"/>
    </row>
    <row r="39" spans="1:17">
      <c r="C39" s="12"/>
      <c r="D39" s="333"/>
      <c r="E39" s="333"/>
      <c r="F39" s="25"/>
      <c r="G39" s="334"/>
      <c r="H39" s="334"/>
      <c r="I39" s="333"/>
      <c r="J39" s="333"/>
      <c r="K39" s="333"/>
      <c r="L39" s="333"/>
      <c r="M39" s="8"/>
    </row>
    <row r="40" spans="1:17">
      <c r="C40" s="12"/>
      <c r="D40" s="333"/>
      <c r="E40" s="333"/>
      <c r="F40" s="25"/>
      <c r="G40" s="334"/>
      <c r="H40" s="334"/>
      <c r="I40" s="333"/>
      <c r="J40" s="333"/>
      <c r="K40" s="333"/>
      <c r="L40" s="333"/>
      <c r="M40" s="8"/>
    </row>
    <row r="41" spans="1:17">
      <c r="B41" s="16" t="s">
        <v>127</v>
      </c>
      <c r="G41" s="28"/>
    </row>
    <row r="42" spans="1:17">
      <c r="B42" s="17" t="s">
        <v>1134</v>
      </c>
      <c r="C42" s="17"/>
      <c r="D42" s="17"/>
      <c r="E42" s="17"/>
      <c r="F42" s="17"/>
      <c r="G42" s="17"/>
      <c r="H42" s="17"/>
      <c r="I42" s="17"/>
      <c r="J42" s="17"/>
      <c r="K42" s="17"/>
      <c r="L42" s="17"/>
    </row>
    <row r="43" spans="1:17">
      <c r="B43" s="17" t="s">
        <v>2052</v>
      </c>
      <c r="C43" s="17"/>
      <c r="D43" s="17"/>
      <c r="E43" s="17"/>
      <c r="F43" s="17"/>
      <c r="G43" s="17"/>
      <c r="H43" s="17"/>
      <c r="I43" s="17"/>
      <c r="J43" s="17"/>
      <c r="K43" s="17"/>
      <c r="L43" s="17"/>
    </row>
    <row r="44" spans="1:17">
      <c r="B44" s="844" t="s">
        <v>1903</v>
      </c>
      <c r="C44" s="845"/>
      <c r="D44" s="845"/>
      <c r="E44" s="845"/>
      <c r="F44" s="845"/>
      <c r="G44" s="845"/>
      <c r="H44" s="845"/>
      <c r="I44" s="845"/>
      <c r="J44" s="845"/>
      <c r="K44" s="845"/>
      <c r="L44" s="845"/>
    </row>
    <row r="45" spans="1:17">
      <c r="B45" s="845"/>
      <c r="C45" s="845"/>
      <c r="D45" s="845"/>
      <c r="E45" s="845"/>
      <c r="F45" s="845"/>
      <c r="G45" s="845"/>
      <c r="H45" s="845"/>
      <c r="I45" s="845"/>
      <c r="J45" s="845"/>
      <c r="K45" s="845"/>
      <c r="L45" s="845"/>
    </row>
    <row r="46" spans="1:17">
      <c r="B46" s="17" t="s">
        <v>1327</v>
      </c>
      <c r="C46" s="17"/>
      <c r="D46" s="17"/>
      <c r="E46" s="17"/>
      <c r="F46" s="17"/>
      <c r="G46" s="17"/>
      <c r="H46" s="17"/>
      <c r="I46" s="17"/>
      <c r="J46" s="17"/>
      <c r="K46" s="17"/>
      <c r="L46" s="17"/>
    </row>
  </sheetData>
  <mergeCells count="9">
    <mergeCell ref="G8:I8"/>
    <mergeCell ref="N8:P8"/>
    <mergeCell ref="B44:L45"/>
    <mergeCell ref="B10:C10"/>
    <mergeCell ref="B8:B9"/>
    <mergeCell ref="C8:C9"/>
    <mergeCell ref="D8:F8"/>
    <mergeCell ref="J8:L8"/>
    <mergeCell ref="M8:M9"/>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89"/>
  <sheetViews>
    <sheetView tabSelected="1" view="pageBreakPreview" topLeftCell="A32" zoomScale="55" zoomScaleNormal="70" zoomScaleSheetLayoutView="55" zoomScalePageLayoutView="55" workbookViewId="0">
      <selection activeCell="P108" sqref="P108"/>
    </sheetView>
  </sheetViews>
  <sheetFormatPr defaultColWidth="9.1796875" defaultRowHeight="14.5"/>
  <cols>
    <col min="1" max="1" width="7.26953125" style="69" bestFit="1" customWidth="1"/>
    <col min="2" max="2" width="2.7265625" style="69" customWidth="1"/>
    <col min="3" max="3" width="6.7265625" style="69" customWidth="1"/>
    <col min="4" max="4" width="61.81640625" style="69" customWidth="1"/>
    <col min="5" max="5" width="22.453125" style="69" customWidth="1"/>
    <col min="6" max="6" width="26.453125" style="69" customWidth="1"/>
    <col min="7" max="7" width="22" style="69" customWidth="1"/>
    <col min="8" max="8" width="22" style="69" bestFit="1" customWidth="1"/>
    <col min="9" max="9" width="23" style="93" customWidth="1"/>
    <col min="10" max="10" width="20.26953125" style="69" customWidth="1"/>
    <col min="11" max="11" width="24.453125" style="69" customWidth="1"/>
    <col min="12" max="12" width="25" style="69" bestFit="1" customWidth="1"/>
    <col min="13" max="13" width="15.26953125" style="69" bestFit="1" customWidth="1"/>
    <col min="14" max="14" width="7.26953125" style="69" bestFit="1" customWidth="1"/>
    <col min="15" max="15" width="10.7265625" style="69" bestFit="1" customWidth="1"/>
    <col min="16" max="16384" width="9.1796875" style="69"/>
  </cols>
  <sheetData>
    <row r="1" spans="1:27">
      <c r="A1" s="90"/>
      <c r="B1" s="90" t="s">
        <v>808</v>
      </c>
      <c r="M1" s="15" t="s">
        <v>1946</v>
      </c>
      <c r="N1" s="90"/>
    </row>
    <row r="2" spans="1:27">
      <c r="A2" s="90"/>
      <c r="B2" s="410" t="s">
        <v>807</v>
      </c>
      <c r="C2" s="91"/>
      <c r="D2" s="91"/>
      <c r="K2" s="76"/>
      <c r="L2" s="170"/>
      <c r="N2" s="90"/>
    </row>
    <row r="3" spans="1:27">
      <c r="A3" s="90"/>
      <c r="K3" s="170"/>
      <c r="L3" s="170"/>
      <c r="N3" s="90"/>
    </row>
    <row r="4" spans="1:27">
      <c r="A4" s="95" t="s">
        <v>581</v>
      </c>
      <c r="K4" s="170"/>
      <c r="L4" s="170"/>
      <c r="N4" s="95" t="s">
        <v>581</v>
      </c>
    </row>
    <row r="5" spans="1:27">
      <c r="A5" s="76">
        <v>100</v>
      </c>
      <c r="C5" s="90" t="s">
        <v>806</v>
      </c>
      <c r="E5" s="92" t="s">
        <v>100</v>
      </c>
      <c r="F5" s="92" t="s">
        <v>101</v>
      </c>
      <c r="G5" s="92" t="s">
        <v>102</v>
      </c>
      <c r="H5" s="92" t="s">
        <v>103</v>
      </c>
      <c r="I5" s="92" t="s">
        <v>805</v>
      </c>
      <c r="J5" s="95" t="s">
        <v>105</v>
      </c>
      <c r="K5" s="95" t="s">
        <v>804</v>
      </c>
      <c r="L5" s="95"/>
      <c r="N5" s="76">
        <f t="shared" ref="N5:N23" si="0">A5</f>
        <v>100</v>
      </c>
    </row>
    <row r="6" spans="1:27">
      <c r="A6" s="76">
        <f t="shared" ref="A6:A23" si="1">A5+1</f>
        <v>101</v>
      </c>
      <c r="G6" s="338" t="s">
        <v>1645</v>
      </c>
      <c r="J6" s="338" t="s">
        <v>655</v>
      </c>
      <c r="N6" s="76">
        <f t="shared" si="0"/>
        <v>101</v>
      </c>
    </row>
    <row r="7" spans="1:27">
      <c r="A7" s="76">
        <f t="shared" si="1"/>
        <v>102</v>
      </c>
      <c r="E7" s="76" t="s">
        <v>327</v>
      </c>
      <c r="F7" s="76" t="s">
        <v>802</v>
      </c>
      <c r="G7" s="76" t="s">
        <v>803</v>
      </c>
      <c r="H7" s="76" t="s">
        <v>802</v>
      </c>
      <c r="I7" s="76" t="s">
        <v>801</v>
      </c>
      <c r="J7" s="76" t="s">
        <v>801</v>
      </c>
      <c r="K7" s="76" t="s">
        <v>800</v>
      </c>
      <c r="L7" s="76"/>
      <c r="N7" s="76">
        <f t="shared" si="0"/>
        <v>102</v>
      </c>
    </row>
    <row r="8" spans="1:27">
      <c r="A8" s="76">
        <f t="shared" si="1"/>
        <v>103</v>
      </c>
      <c r="B8" s="95"/>
      <c r="C8" s="95" t="s">
        <v>799</v>
      </c>
      <c r="D8" s="95" t="s">
        <v>129</v>
      </c>
      <c r="E8" s="95" t="s">
        <v>300</v>
      </c>
      <c r="F8" s="95" t="s">
        <v>54</v>
      </c>
      <c r="G8" s="95" t="s">
        <v>300</v>
      </c>
      <c r="H8" s="95" t="s">
        <v>54</v>
      </c>
      <c r="I8" s="95" t="s">
        <v>300</v>
      </c>
      <c r="J8" s="95" t="s">
        <v>798</v>
      </c>
      <c r="K8" s="95" t="s">
        <v>67</v>
      </c>
      <c r="L8" s="95" t="s">
        <v>301</v>
      </c>
      <c r="N8" s="76">
        <f t="shared" si="0"/>
        <v>103</v>
      </c>
      <c r="O8" s="95"/>
      <c r="P8" s="95"/>
      <c r="Q8" s="95"/>
      <c r="R8" s="95"/>
      <c r="S8" s="95"/>
      <c r="T8" s="95"/>
      <c r="U8" s="95"/>
      <c r="V8" s="95"/>
      <c r="W8" s="95"/>
      <c r="X8" s="95"/>
      <c r="Y8" s="95"/>
      <c r="Z8" s="95"/>
      <c r="AA8" s="95"/>
    </row>
    <row r="9" spans="1:27">
      <c r="A9" s="76">
        <f t="shared" si="1"/>
        <v>104</v>
      </c>
      <c r="C9" s="170">
        <v>920</v>
      </c>
      <c r="D9" s="69" t="s">
        <v>765</v>
      </c>
      <c r="E9" s="453">
        <v>359991194</v>
      </c>
      <c r="F9" s="170" t="s">
        <v>1972</v>
      </c>
      <c r="G9" s="453"/>
      <c r="H9" s="170" t="s">
        <v>797</v>
      </c>
      <c r="I9" s="449">
        <f t="shared" ref="I9:I22" si="2">E9+G9</f>
        <v>359991194</v>
      </c>
      <c r="J9" s="453">
        <v>23348776.851938281</v>
      </c>
      <c r="K9" s="449">
        <f t="shared" ref="K9:K22" si="3">I9-J9</f>
        <v>336642417.14806169</v>
      </c>
      <c r="L9" s="69" t="s">
        <v>1266</v>
      </c>
      <c r="N9" s="76">
        <f t="shared" si="0"/>
        <v>104</v>
      </c>
    </row>
    <row r="10" spans="1:27">
      <c r="A10" s="76">
        <f t="shared" si="1"/>
        <v>105</v>
      </c>
      <c r="C10" s="170">
        <v>921</v>
      </c>
      <c r="D10" s="69" t="s">
        <v>764</v>
      </c>
      <c r="E10" s="453">
        <v>42662196</v>
      </c>
      <c r="F10" s="170" t="s">
        <v>1973</v>
      </c>
      <c r="G10" s="453"/>
      <c r="H10" s="170" t="s">
        <v>796</v>
      </c>
      <c r="I10" s="449">
        <f t="shared" si="2"/>
        <v>42662196</v>
      </c>
      <c r="J10" s="453">
        <v>-385028.38451701391</v>
      </c>
      <c r="K10" s="449">
        <f t="shared" si="3"/>
        <v>43047224.384517014</v>
      </c>
      <c r="L10" s="69" t="s">
        <v>1267</v>
      </c>
      <c r="N10" s="76">
        <f t="shared" si="0"/>
        <v>105</v>
      </c>
    </row>
    <row r="11" spans="1:27">
      <c r="A11" s="76">
        <f t="shared" si="1"/>
        <v>106</v>
      </c>
      <c r="C11" s="170">
        <v>922</v>
      </c>
      <c r="D11" s="69" t="s">
        <v>763</v>
      </c>
      <c r="E11" s="453">
        <v>-57122496.140000001</v>
      </c>
      <c r="F11" s="170" t="s">
        <v>1974</v>
      </c>
      <c r="G11" s="453"/>
      <c r="H11" s="170" t="s">
        <v>795</v>
      </c>
      <c r="I11" s="449">
        <f t="shared" si="2"/>
        <v>-57122496.140000001</v>
      </c>
      <c r="J11" s="453">
        <v>0</v>
      </c>
      <c r="K11" s="449">
        <f t="shared" si="3"/>
        <v>-57122496.140000001</v>
      </c>
      <c r="L11" s="69" t="s">
        <v>1268</v>
      </c>
      <c r="N11" s="76">
        <f t="shared" si="0"/>
        <v>106</v>
      </c>
    </row>
    <row r="12" spans="1:27">
      <c r="A12" s="76">
        <f t="shared" si="1"/>
        <v>107</v>
      </c>
      <c r="B12" s="76"/>
      <c r="C12" s="170">
        <v>923</v>
      </c>
      <c r="D12" s="69" t="s">
        <v>762</v>
      </c>
      <c r="E12" s="453">
        <v>309010456</v>
      </c>
      <c r="F12" s="170" t="s">
        <v>1975</v>
      </c>
      <c r="G12" s="453"/>
      <c r="H12" s="170" t="s">
        <v>794</v>
      </c>
      <c r="I12" s="449">
        <f t="shared" si="2"/>
        <v>309010456</v>
      </c>
      <c r="J12" s="453">
        <v>-10821665.603481896</v>
      </c>
      <c r="K12" s="449">
        <f t="shared" si="3"/>
        <v>319832121.60348189</v>
      </c>
      <c r="L12" s="69" t="s">
        <v>1269</v>
      </c>
      <c r="N12" s="76">
        <f t="shared" si="0"/>
        <v>107</v>
      </c>
    </row>
    <row r="13" spans="1:27">
      <c r="A13" s="76">
        <f t="shared" si="1"/>
        <v>108</v>
      </c>
      <c r="B13" s="76"/>
      <c r="C13" s="170">
        <v>924</v>
      </c>
      <c r="D13" s="69" t="s">
        <v>594</v>
      </c>
      <c r="E13" s="453">
        <v>11235559.479999997</v>
      </c>
      <c r="F13" s="170" t="s">
        <v>1976</v>
      </c>
      <c r="G13" s="453"/>
      <c r="H13" s="170" t="s">
        <v>793</v>
      </c>
      <c r="I13" s="449">
        <f t="shared" si="2"/>
        <v>11235559.479999997</v>
      </c>
      <c r="J13" s="453">
        <v>-9270228.6999999993</v>
      </c>
      <c r="K13" s="449">
        <f t="shared" si="3"/>
        <v>20505788.179999996</v>
      </c>
      <c r="L13" s="69" t="s">
        <v>1270</v>
      </c>
      <c r="N13" s="76">
        <f t="shared" si="0"/>
        <v>108</v>
      </c>
    </row>
    <row r="14" spans="1:27">
      <c r="A14" s="76">
        <f t="shared" si="1"/>
        <v>109</v>
      </c>
      <c r="B14" s="76"/>
      <c r="C14" s="170">
        <v>925</v>
      </c>
      <c r="D14" s="69" t="s">
        <v>632</v>
      </c>
      <c r="E14" s="453">
        <v>1982050375.6199999</v>
      </c>
      <c r="F14" s="170" t="s">
        <v>1977</v>
      </c>
      <c r="G14" s="453"/>
      <c r="H14" s="170" t="s">
        <v>792</v>
      </c>
      <c r="I14" s="449">
        <f t="shared" si="2"/>
        <v>1982050375.6199999</v>
      </c>
      <c r="J14" s="453">
        <v>935713754.37941957</v>
      </c>
      <c r="K14" s="449">
        <f t="shared" si="3"/>
        <v>1046336621.2405803</v>
      </c>
      <c r="L14" s="69" t="s">
        <v>1271</v>
      </c>
      <c r="N14" s="76">
        <f t="shared" si="0"/>
        <v>109</v>
      </c>
    </row>
    <row r="15" spans="1:27">
      <c r="A15" s="76">
        <f t="shared" si="1"/>
        <v>110</v>
      </c>
      <c r="B15" s="76"/>
      <c r="C15" s="170">
        <v>926</v>
      </c>
      <c r="D15" s="69" t="s">
        <v>761</v>
      </c>
      <c r="E15" s="453">
        <v>335424354.37000173</v>
      </c>
      <c r="F15" s="170" t="s">
        <v>1978</v>
      </c>
      <c r="G15" s="453"/>
      <c r="H15" s="170" t="s">
        <v>791</v>
      </c>
      <c r="I15" s="449">
        <f t="shared" si="2"/>
        <v>335424354.37000173</v>
      </c>
      <c r="J15" s="453">
        <v>3067475.6597176641</v>
      </c>
      <c r="K15" s="449">
        <f t="shared" si="3"/>
        <v>332356878.71028405</v>
      </c>
      <c r="L15" s="69" t="s">
        <v>1272</v>
      </c>
      <c r="N15" s="76">
        <f t="shared" si="0"/>
        <v>110</v>
      </c>
    </row>
    <row r="16" spans="1:27">
      <c r="A16" s="76">
        <f t="shared" si="1"/>
        <v>111</v>
      </c>
      <c r="B16" s="76"/>
      <c r="C16" s="170">
        <v>927</v>
      </c>
      <c r="D16" s="69" t="s">
        <v>760</v>
      </c>
      <c r="E16" s="453">
        <v>116147800.59999999</v>
      </c>
      <c r="F16" s="170" t="s">
        <v>1979</v>
      </c>
      <c r="G16" s="453"/>
      <c r="H16" s="170" t="s">
        <v>790</v>
      </c>
      <c r="I16" s="449">
        <f t="shared" si="2"/>
        <v>116147800.59999999</v>
      </c>
      <c r="J16" s="453">
        <v>116147800.59999999</v>
      </c>
      <c r="K16" s="449">
        <f t="shared" si="3"/>
        <v>0</v>
      </c>
      <c r="L16" s="69" t="s">
        <v>1273</v>
      </c>
      <c r="N16" s="76">
        <f t="shared" si="0"/>
        <v>111</v>
      </c>
    </row>
    <row r="17" spans="1:14">
      <c r="A17" s="76">
        <f t="shared" si="1"/>
        <v>112</v>
      </c>
      <c r="B17" s="76"/>
      <c r="C17" s="170">
        <v>928</v>
      </c>
      <c r="D17" s="69" t="s">
        <v>759</v>
      </c>
      <c r="E17" s="453">
        <v>0</v>
      </c>
      <c r="F17" s="170" t="s">
        <v>1980</v>
      </c>
      <c r="G17" s="453"/>
      <c r="H17" s="170" t="s">
        <v>789</v>
      </c>
      <c r="I17" s="449">
        <f t="shared" si="2"/>
        <v>0</v>
      </c>
      <c r="J17" s="453">
        <v>0</v>
      </c>
      <c r="K17" s="449">
        <f t="shared" si="3"/>
        <v>0</v>
      </c>
      <c r="L17" s="90" t="s">
        <v>656</v>
      </c>
      <c r="N17" s="76">
        <f t="shared" si="0"/>
        <v>112</v>
      </c>
    </row>
    <row r="18" spans="1:14">
      <c r="A18" s="76">
        <f t="shared" si="1"/>
        <v>113</v>
      </c>
      <c r="B18" s="76"/>
      <c r="C18" s="170">
        <v>929</v>
      </c>
      <c r="D18" s="69" t="s">
        <v>758</v>
      </c>
      <c r="E18" s="453">
        <v>0</v>
      </c>
      <c r="F18" s="170" t="s">
        <v>1981</v>
      </c>
      <c r="G18" s="453"/>
      <c r="H18" s="170" t="s">
        <v>788</v>
      </c>
      <c r="I18" s="449">
        <f t="shared" si="2"/>
        <v>0</v>
      </c>
      <c r="J18" s="453">
        <v>0</v>
      </c>
      <c r="K18" s="449">
        <f t="shared" si="3"/>
        <v>0</v>
      </c>
      <c r="L18" s="90" t="s">
        <v>656</v>
      </c>
      <c r="N18" s="76">
        <f t="shared" si="0"/>
        <v>113</v>
      </c>
    </row>
    <row r="19" spans="1:14">
      <c r="A19" s="76">
        <f t="shared" si="1"/>
        <v>114</v>
      </c>
      <c r="B19" s="76"/>
      <c r="C19" s="170">
        <v>930.1</v>
      </c>
      <c r="D19" s="69" t="s">
        <v>757</v>
      </c>
      <c r="E19" s="453">
        <v>0</v>
      </c>
      <c r="F19" s="170" t="s">
        <v>1982</v>
      </c>
      <c r="G19" s="453"/>
      <c r="H19" s="170" t="s">
        <v>787</v>
      </c>
      <c r="I19" s="449">
        <f t="shared" si="2"/>
        <v>0</v>
      </c>
      <c r="J19" s="453">
        <v>0</v>
      </c>
      <c r="K19" s="449">
        <f t="shared" si="3"/>
        <v>0</v>
      </c>
      <c r="L19" s="69" t="s">
        <v>1274</v>
      </c>
      <c r="N19" s="76">
        <f t="shared" si="0"/>
        <v>114</v>
      </c>
    </row>
    <row r="20" spans="1:14">
      <c r="A20" s="76">
        <f t="shared" si="1"/>
        <v>115</v>
      </c>
      <c r="B20" s="76"/>
      <c r="C20" s="170">
        <v>930.2</v>
      </c>
      <c r="D20" s="69" t="s">
        <v>756</v>
      </c>
      <c r="E20" s="453">
        <v>16970569</v>
      </c>
      <c r="F20" s="170" t="s">
        <v>1983</v>
      </c>
      <c r="G20" s="453"/>
      <c r="H20" s="170" t="s">
        <v>786</v>
      </c>
      <c r="I20" s="449">
        <f t="shared" si="2"/>
        <v>16970569</v>
      </c>
      <c r="J20" s="453">
        <v>10959494.520001182</v>
      </c>
      <c r="K20" s="449">
        <f t="shared" si="3"/>
        <v>6011074.4799988177</v>
      </c>
      <c r="L20" s="69" t="s">
        <v>1274</v>
      </c>
      <c r="N20" s="76">
        <f t="shared" si="0"/>
        <v>115</v>
      </c>
    </row>
    <row r="21" spans="1:14">
      <c r="A21" s="76">
        <f t="shared" si="1"/>
        <v>116</v>
      </c>
      <c r="B21" s="76"/>
      <c r="C21" s="170">
        <v>931</v>
      </c>
      <c r="D21" s="69" t="s">
        <v>730</v>
      </c>
      <c r="E21" s="453">
        <v>0</v>
      </c>
      <c r="F21" s="170" t="s">
        <v>1984</v>
      </c>
      <c r="G21" s="453"/>
      <c r="H21" s="170" t="s">
        <v>785</v>
      </c>
      <c r="I21" s="449">
        <f t="shared" si="2"/>
        <v>0</v>
      </c>
      <c r="J21" s="453">
        <v>0</v>
      </c>
      <c r="K21" s="449">
        <f t="shared" si="3"/>
        <v>0</v>
      </c>
      <c r="L21" s="90" t="s">
        <v>656</v>
      </c>
      <c r="N21" s="76">
        <f t="shared" si="0"/>
        <v>116</v>
      </c>
    </row>
    <row r="22" spans="1:14">
      <c r="A22" s="76">
        <f t="shared" si="1"/>
        <v>117</v>
      </c>
      <c r="B22" s="76"/>
      <c r="C22" s="170">
        <v>935</v>
      </c>
      <c r="D22" s="69" t="s">
        <v>755</v>
      </c>
      <c r="E22" s="454">
        <v>1890228</v>
      </c>
      <c r="F22" s="170" t="s">
        <v>1985</v>
      </c>
      <c r="G22" s="454"/>
      <c r="H22" s="170" t="s">
        <v>784</v>
      </c>
      <c r="I22" s="451">
        <f t="shared" si="2"/>
        <v>1890228</v>
      </c>
      <c r="J22" s="454">
        <v>0</v>
      </c>
      <c r="K22" s="451">
        <f t="shared" si="3"/>
        <v>1890228</v>
      </c>
      <c r="L22" s="69" t="s">
        <v>1275</v>
      </c>
      <c r="N22" s="76">
        <f t="shared" si="0"/>
        <v>117</v>
      </c>
    </row>
    <row r="23" spans="1:14" s="90" customFormat="1">
      <c r="A23" s="76">
        <f t="shared" si="1"/>
        <v>118</v>
      </c>
      <c r="D23" s="350" t="s">
        <v>783</v>
      </c>
      <c r="E23" s="450">
        <f>SUM(E9:E22)</f>
        <v>3118260236.9300017</v>
      </c>
      <c r="F23" s="170" t="s">
        <v>1986</v>
      </c>
      <c r="G23" s="450">
        <f>SUM(G9:G22)</f>
        <v>0</v>
      </c>
      <c r="H23" s="170" t="s">
        <v>782</v>
      </c>
      <c r="I23" s="452">
        <f>SUM(I9:I22)</f>
        <v>3118260236.9300017</v>
      </c>
      <c r="J23" s="452">
        <f>SUM(J9:J22)</f>
        <v>1068760379.3230778</v>
      </c>
      <c r="K23" s="450">
        <f>SUM(K9:K22)</f>
        <v>2049499857.6069236</v>
      </c>
      <c r="N23" s="76">
        <f t="shared" si="0"/>
        <v>118</v>
      </c>
    </row>
    <row r="24" spans="1:14">
      <c r="A24" s="76"/>
      <c r="I24" s="349"/>
      <c r="N24" s="76"/>
    </row>
    <row r="25" spans="1:14">
      <c r="A25" s="76">
        <v>200</v>
      </c>
      <c r="C25" s="90" t="s">
        <v>781</v>
      </c>
      <c r="I25" s="349"/>
      <c r="N25" s="76">
        <f t="shared" ref="N25:N46" si="4">A25</f>
        <v>200</v>
      </c>
    </row>
    <row r="26" spans="1:14">
      <c r="A26" s="76">
        <f t="shared" ref="A26:A46" si="5">A25+1</f>
        <v>201</v>
      </c>
      <c r="D26" s="343" t="s">
        <v>780</v>
      </c>
      <c r="E26" s="348"/>
      <c r="F26" s="347" t="s">
        <v>300</v>
      </c>
      <c r="G26" s="347" t="s">
        <v>54</v>
      </c>
      <c r="H26" s="346"/>
      <c r="I26" s="345"/>
      <c r="K26" s="81"/>
      <c r="N26" s="76">
        <f t="shared" si="4"/>
        <v>201</v>
      </c>
    </row>
    <row r="27" spans="1:14">
      <c r="A27" s="76">
        <f t="shared" si="5"/>
        <v>202</v>
      </c>
      <c r="D27" s="341"/>
      <c r="E27" s="93" t="s">
        <v>779</v>
      </c>
      <c r="F27" s="449">
        <f>K23</f>
        <v>2049499857.6069236</v>
      </c>
      <c r="G27" s="78" t="s">
        <v>778</v>
      </c>
      <c r="H27" s="639"/>
      <c r="I27" s="349"/>
      <c r="N27" s="76">
        <f t="shared" si="4"/>
        <v>202</v>
      </c>
    </row>
    <row r="28" spans="1:14">
      <c r="A28" s="76">
        <f t="shared" si="5"/>
        <v>203</v>
      </c>
      <c r="D28" s="341"/>
      <c r="E28" s="93" t="s">
        <v>777</v>
      </c>
      <c r="F28" s="449">
        <f>K13</f>
        <v>20505788.179999996</v>
      </c>
      <c r="G28" s="78" t="s">
        <v>769</v>
      </c>
      <c r="H28" s="640"/>
      <c r="I28" s="641"/>
      <c r="J28" s="642"/>
      <c r="N28" s="76">
        <f t="shared" si="4"/>
        <v>203</v>
      </c>
    </row>
    <row r="29" spans="1:14">
      <c r="A29" s="76">
        <f t="shared" si="5"/>
        <v>204</v>
      </c>
      <c r="D29" s="344"/>
      <c r="E29" s="643" t="s">
        <v>1634</v>
      </c>
      <c r="F29" s="453">
        <v>1009388570.3705791</v>
      </c>
      <c r="G29" s="78" t="s">
        <v>1328</v>
      </c>
      <c r="H29" s="640"/>
      <c r="I29" s="641"/>
      <c r="N29" s="76">
        <f t="shared" si="4"/>
        <v>204</v>
      </c>
    </row>
    <row r="30" spans="1:14">
      <c r="A30" s="76">
        <f t="shared" si="5"/>
        <v>205</v>
      </c>
      <c r="D30" s="341"/>
      <c r="E30" s="93" t="s">
        <v>776</v>
      </c>
      <c r="F30" s="644">
        <f>F27-SUM(F28:F29)</f>
        <v>1019605499.0563445</v>
      </c>
      <c r="G30" s="78" t="s">
        <v>1624</v>
      </c>
      <c r="H30" s="639"/>
      <c r="I30" s="349"/>
      <c r="N30" s="76">
        <f t="shared" si="4"/>
        <v>205</v>
      </c>
    </row>
    <row r="31" spans="1:14">
      <c r="A31" s="76">
        <f t="shared" si="5"/>
        <v>206</v>
      </c>
      <c r="D31" s="694"/>
      <c r="E31" s="693" t="s">
        <v>775</v>
      </c>
      <c r="F31" s="679">
        <v>1</v>
      </c>
      <c r="G31" s="691" t="s">
        <v>1645</v>
      </c>
      <c r="H31" s="697" t="s">
        <v>1645</v>
      </c>
      <c r="I31" s="646"/>
      <c r="N31" s="76">
        <f t="shared" si="4"/>
        <v>206</v>
      </c>
    </row>
    <row r="32" spans="1:14">
      <c r="A32" s="76">
        <f t="shared" si="5"/>
        <v>207</v>
      </c>
      <c r="D32" s="341"/>
      <c r="E32" s="93" t="s">
        <v>774</v>
      </c>
      <c r="F32" s="644">
        <f>F30*F31</f>
        <v>1019605499.0563445</v>
      </c>
      <c r="G32" s="78" t="str">
        <f>"Line "&amp;A30&amp;" * Line "&amp;A31&amp;""</f>
        <v>Line 205 * Line 206</v>
      </c>
      <c r="H32" s="639"/>
      <c r="I32" s="349"/>
      <c r="J32" s="647"/>
      <c r="K32" s="448"/>
      <c r="N32" s="76">
        <f t="shared" si="4"/>
        <v>207</v>
      </c>
    </row>
    <row r="33" spans="1:14">
      <c r="A33" s="76">
        <f t="shared" si="5"/>
        <v>208</v>
      </c>
      <c r="D33" s="341"/>
      <c r="E33" s="93" t="s">
        <v>773</v>
      </c>
      <c r="F33" s="31">
        <f>'24-Allocators'!C23</f>
        <v>0.13539553206179952</v>
      </c>
      <c r="G33" s="645" t="s">
        <v>1021</v>
      </c>
      <c r="H33" s="639"/>
      <c r="I33" s="646"/>
      <c r="N33" s="76">
        <f t="shared" si="4"/>
        <v>208</v>
      </c>
    </row>
    <row r="34" spans="1:14">
      <c r="A34" s="76">
        <f t="shared" si="5"/>
        <v>209</v>
      </c>
      <c r="D34" s="339"/>
      <c r="E34" s="648" t="s">
        <v>772</v>
      </c>
      <c r="F34" s="649">
        <f>F32*F33</f>
        <v>138050029.03787041</v>
      </c>
      <c r="G34" s="650" t="str">
        <f>"Line "&amp;A32&amp;" * Line "&amp;A33&amp;""</f>
        <v>Line 207 * Line 208</v>
      </c>
      <c r="H34" s="651"/>
      <c r="I34" s="349"/>
      <c r="N34" s="76">
        <f t="shared" si="4"/>
        <v>209</v>
      </c>
    </row>
    <row r="35" spans="1:14">
      <c r="A35" s="76">
        <f t="shared" si="5"/>
        <v>210</v>
      </c>
      <c r="D35" s="343" t="s">
        <v>771</v>
      </c>
      <c r="E35" s="652"/>
      <c r="F35" s="653"/>
      <c r="G35" s="654"/>
      <c r="H35" s="655"/>
      <c r="I35" s="349"/>
      <c r="N35" s="76">
        <f t="shared" si="4"/>
        <v>210</v>
      </c>
    </row>
    <row r="36" spans="1:14">
      <c r="A36" s="76">
        <f t="shared" si="5"/>
        <v>211</v>
      </c>
      <c r="D36" s="694"/>
      <c r="E36" s="693" t="s">
        <v>1956</v>
      </c>
      <c r="F36" s="679">
        <f>'24-Allocators'!C33</f>
        <v>0.21691306018708681</v>
      </c>
      <c r="G36" s="691" t="s">
        <v>1957</v>
      </c>
      <c r="H36" s="698" t="s">
        <v>1645</v>
      </c>
      <c r="I36" s="646"/>
      <c r="N36" s="76">
        <f t="shared" si="4"/>
        <v>211</v>
      </c>
    </row>
    <row r="37" spans="1:14">
      <c r="A37" s="76">
        <f t="shared" si="5"/>
        <v>212</v>
      </c>
      <c r="D37" s="341"/>
      <c r="E37" s="93" t="s">
        <v>770</v>
      </c>
      <c r="F37" s="449">
        <f>F28</f>
        <v>20505788.179999996</v>
      </c>
      <c r="G37" s="78" t="s">
        <v>1378</v>
      </c>
      <c r="H37" s="640"/>
      <c r="I37" s="641"/>
      <c r="N37" s="76">
        <f t="shared" si="4"/>
        <v>212</v>
      </c>
    </row>
    <row r="38" spans="1:14">
      <c r="A38" s="76">
        <f t="shared" si="5"/>
        <v>213</v>
      </c>
      <c r="D38" s="339"/>
      <c r="E38" s="648" t="s">
        <v>768</v>
      </c>
      <c r="F38" s="656">
        <f>F36*F37</f>
        <v>4447973.2656719927</v>
      </c>
      <c r="G38" s="650" t="s">
        <v>1625</v>
      </c>
      <c r="H38" s="657"/>
      <c r="I38" s="641"/>
      <c r="N38" s="76">
        <f t="shared" si="4"/>
        <v>213</v>
      </c>
    </row>
    <row r="39" spans="1:14">
      <c r="A39" s="76">
        <f t="shared" si="5"/>
        <v>214</v>
      </c>
      <c r="D39" s="342" t="s">
        <v>1379</v>
      </c>
      <c r="E39" s="93"/>
      <c r="F39" s="658"/>
      <c r="G39" s="78"/>
      <c r="H39" s="640"/>
      <c r="I39" s="641"/>
      <c r="N39" s="76">
        <f t="shared" si="4"/>
        <v>214</v>
      </c>
    </row>
    <row r="40" spans="1:14">
      <c r="A40" s="76">
        <f t="shared" si="5"/>
        <v>215</v>
      </c>
      <c r="D40" s="341"/>
      <c r="E40" s="93" t="s">
        <v>1965</v>
      </c>
      <c r="F40" s="450">
        <f>F29</f>
        <v>1009388570.3705791</v>
      </c>
      <c r="G40" s="78" t="s">
        <v>1376</v>
      </c>
      <c r="H40" s="640"/>
      <c r="I40" s="641"/>
      <c r="N40" s="76">
        <f t="shared" si="4"/>
        <v>215</v>
      </c>
    </row>
    <row r="41" spans="1:14">
      <c r="A41" s="76">
        <f t="shared" si="5"/>
        <v>216</v>
      </c>
      <c r="D41" s="694"/>
      <c r="E41" s="693" t="s">
        <v>1964</v>
      </c>
      <c r="F41" s="679">
        <f>'24-Allocators'!C57</f>
        <v>0.16800254331191444</v>
      </c>
      <c r="G41" s="691" t="s">
        <v>1958</v>
      </c>
      <c r="H41" s="698" t="s">
        <v>1645</v>
      </c>
      <c r="I41" s="646"/>
      <c r="N41" s="76">
        <f t="shared" si="4"/>
        <v>216</v>
      </c>
    </row>
    <row r="42" spans="1:14">
      <c r="A42" s="76">
        <f t="shared" si="5"/>
        <v>217</v>
      </c>
      <c r="D42" s="341"/>
      <c r="E42" s="648" t="s">
        <v>1626</v>
      </c>
      <c r="F42" s="656">
        <f>F40*F41</f>
        <v>169579847.01223463</v>
      </c>
      <c r="G42" s="650" t="s">
        <v>1627</v>
      </c>
      <c r="H42" s="640"/>
      <c r="I42" s="641"/>
      <c r="N42" s="76">
        <f t="shared" si="4"/>
        <v>217</v>
      </c>
    </row>
    <row r="43" spans="1:14">
      <c r="A43" s="76">
        <f t="shared" si="5"/>
        <v>218</v>
      </c>
      <c r="D43" s="340"/>
      <c r="E43" s="652"/>
      <c r="F43" s="653"/>
      <c r="G43" s="654"/>
      <c r="H43" s="659"/>
      <c r="I43" s="641"/>
      <c r="N43" s="76">
        <f t="shared" si="4"/>
        <v>218</v>
      </c>
    </row>
    <row r="44" spans="1:14">
      <c r="A44" s="76">
        <f t="shared" si="5"/>
        <v>219</v>
      </c>
      <c r="D44" s="341"/>
      <c r="E44" s="93" t="s">
        <v>767</v>
      </c>
      <c r="F44" s="450">
        <f>F42+F38+F34</f>
        <v>312077849.31577706</v>
      </c>
      <c r="G44" s="78" t="s">
        <v>766</v>
      </c>
      <c r="H44" s="639"/>
      <c r="I44" s="349"/>
      <c r="N44" s="76">
        <f t="shared" si="4"/>
        <v>219</v>
      </c>
    </row>
    <row r="45" spans="1:14">
      <c r="A45" s="76">
        <f t="shared" si="5"/>
        <v>220</v>
      </c>
      <c r="D45" s="852" t="s">
        <v>1633</v>
      </c>
      <c r="E45" s="853"/>
      <c r="F45" s="660">
        <v>-638859.45798519184</v>
      </c>
      <c r="G45" s="78" t="s">
        <v>1635</v>
      </c>
      <c r="H45" s="639"/>
      <c r="I45" s="349"/>
      <c r="N45" s="76">
        <f t="shared" si="4"/>
        <v>220</v>
      </c>
    </row>
    <row r="46" spans="1:14">
      <c r="A46" s="76">
        <f t="shared" si="5"/>
        <v>221</v>
      </c>
      <c r="D46" s="339"/>
      <c r="E46" s="648"/>
      <c r="F46" s="656">
        <f>F44+F45</f>
        <v>311438989.8577919</v>
      </c>
      <c r="G46" s="650" t="s">
        <v>1628</v>
      </c>
      <c r="H46" s="651"/>
      <c r="I46" s="349"/>
      <c r="N46" s="76">
        <f t="shared" si="4"/>
        <v>221</v>
      </c>
    </row>
    <row r="47" spans="1:14">
      <c r="A47" s="76"/>
      <c r="N47" s="76"/>
    </row>
    <row r="48" spans="1:14" s="17" customFormat="1">
      <c r="A48" s="131">
        <v>300</v>
      </c>
      <c r="C48" s="206" t="s">
        <v>1344</v>
      </c>
      <c r="I48" s="387"/>
      <c r="N48" s="76">
        <f t="shared" ref="N48" si="6">A48</f>
        <v>300</v>
      </c>
    </row>
    <row r="49" spans="1:15" s="17" customFormat="1">
      <c r="A49" s="131">
        <f t="shared" ref="A49:A65" si="7">A48+1</f>
        <v>301</v>
      </c>
      <c r="E49" s="8" t="s">
        <v>223</v>
      </c>
      <c r="F49" s="675" t="s">
        <v>169</v>
      </c>
      <c r="G49" s="675" t="s">
        <v>218</v>
      </c>
      <c r="H49" s="675" t="s">
        <v>219</v>
      </c>
      <c r="I49" s="675" t="s">
        <v>171</v>
      </c>
      <c r="J49" s="675" t="s">
        <v>220</v>
      </c>
      <c r="K49" s="675" t="s">
        <v>221</v>
      </c>
      <c r="L49" s="675" t="s">
        <v>222</v>
      </c>
      <c r="M49" s="675" t="s">
        <v>225</v>
      </c>
      <c r="N49" s="76">
        <f t="shared" ref="N49:N65" si="8">A49</f>
        <v>301</v>
      </c>
    </row>
    <row r="50" spans="1:15" s="17" customFormat="1" ht="29">
      <c r="A50" s="506">
        <f t="shared" si="7"/>
        <v>302</v>
      </c>
      <c r="E50" s="507" t="s">
        <v>1347</v>
      </c>
      <c r="F50" s="676" t="s">
        <v>1616</v>
      </c>
      <c r="G50" s="676" t="s">
        <v>1617</v>
      </c>
      <c r="H50" s="676" t="s">
        <v>1618</v>
      </c>
      <c r="I50" s="676" t="s">
        <v>1345</v>
      </c>
      <c r="J50" s="676" t="s">
        <v>1346</v>
      </c>
      <c r="K50" s="676" t="s">
        <v>1619</v>
      </c>
      <c r="L50" s="676" t="s">
        <v>1620</v>
      </c>
      <c r="M50" s="680" t="s">
        <v>640</v>
      </c>
      <c r="N50" s="76">
        <f t="shared" si="8"/>
        <v>302</v>
      </c>
    </row>
    <row r="51" spans="1:15" s="17" customFormat="1">
      <c r="A51" s="131">
        <f t="shared" si="7"/>
        <v>303</v>
      </c>
      <c r="C51" s="27">
        <v>920</v>
      </c>
      <c r="D51" s="17" t="s">
        <v>765</v>
      </c>
      <c r="E51" s="424">
        <f>SUM(F51:M51)</f>
        <v>-23348776.851938285</v>
      </c>
      <c r="F51" s="444">
        <v>-5341157.0405000001</v>
      </c>
      <c r="G51" s="444">
        <v>-16503580.140000002</v>
      </c>
      <c r="H51" s="444">
        <v>0</v>
      </c>
      <c r="I51" s="444">
        <v>-701331.37526</v>
      </c>
      <c r="J51" s="444">
        <v>-624397.26000000013</v>
      </c>
      <c r="K51" s="444">
        <v>-220589.14978322899</v>
      </c>
      <c r="L51" s="444">
        <v>42278.113604944323</v>
      </c>
      <c r="M51" s="414"/>
      <c r="N51" s="76">
        <f t="shared" si="8"/>
        <v>303</v>
      </c>
      <c r="O51" s="509"/>
    </row>
    <row r="52" spans="1:15" s="17" customFormat="1">
      <c r="A52" s="131">
        <f t="shared" si="7"/>
        <v>304</v>
      </c>
      <c r="C52" s="27">
        <v>921</v>
      </c>
      <c r="D52" s="17" t="s">
        <v>764</v>
      </c>
      <c r="E52" s="424">
        <f t="shared" ref="E52:E64" si="9">SUM(F52:M52)</f>
        <v>385028.38451701391</v>
      </c>
      <c r="F52" s="444">
        <v>0</v>
      </c>
      <c r="G52" s="444">
        <v>478753.21</v>
      </c>
      <c r="H52" s="444">
        <v>0</v>
      </c>
      <c r="I52" s="444">
        <v>0</v>
      </c>
      <c r="J52" s="444">
        <v>-28206.42</v>
      </c>
      <c r="K52" s="444">
        <v>-65518.405482986098</v>
      </c>
      <c r="L52" s="444">
        <v>0</v>
      </c>
      <c r="M52" s="414"/>
      <c r="N52" s="76">
        <f t="shared" si="8"/>
        <v>304</v>
      </c>
      <c r="O52" s="509"/>
    </row>
    <row r="53" spans="1:15" s="17" customFormat="1">
      <c r="A53" s="131">
        <f t="shared" si="7"/>
        <v>305</v>
      </c>
      <c r="C53" s="27">
        <v>922</v>
      </c>
      <c r="D53" s="17" t="s">
        <v>763</v>
      </c>
      <c r="E53" s="424">
        <f t="shared" si="9"/>
        <v>0</v>
      </c>
      <c r="F53" s="444">
        <v>0</v>
      </c>
      <c r="G53" s="444">
        <v>0</v>
      </c>
      <c r="H53" s="444">
        <v>0</v>
      </c>
      <c r="I53" s="444">
        <v>0</v>
      </c>
      <c r="J53" s="444">
        <v>0</v>
      </c>
      <c r="K53" s="444">
        <v>0</v>
      </c>
      <c r="L53" s="444">
        <v>0</v>
      </c>
      <c r="M53" s="414"/>
      <c r="N53" s="76">
        <f t="shared" si="8"/>
        <v>305</v>
      </c>
      <c r="O53" s="509"/>
    </row>
    <row r="54" spans="1:15" s="17" customFormat="1">
      <c r="A54" s="131">
        <f t="shared" si="7"/>
        <v>306</v>
      </c>
      <c r="C54" s="27">
        <v>923</v>
      </c>
      <c r="D54" s="17" t="s">
        <v>762</v>
      </c>
      <c r="E54" s="424">
        <f t="shared" si="9"/>
        <v>10821665.603481892</v>
      </c>
      <c r="F54" s="444">
        <v>-1529333.354724</v>
      </c>
      <c r="G54" s="444">
        <v>-3367489.10988147</v>
      </c>
      <c r="H54" s="444">
        <v>-211914.73697100001</v>
      </c>
      <c r="I54" s="444">
        <v>790148.95331997983</v>
      </c>
      <c r="J54" s="444">
        <v>15051938.139999999</v>
      </c>
      <c r="K54" s="444">
        <v>-10423.662716648099</v>
      </c>
      <c r="L54" s="444">
        <v>98739.374455033671</v>
      </c>
      <c r="M54" s="414"/>
      <c r="N54" s="76">
        <f t="shared" si="8"/>
        <v>306</v>
      </c>
      <c r="O54" s="509"/>
    </row>
    <row r="55" spans="1:15" s="17" customFormat="1">
      <c r="A55" s="131">
        <f t="shared" si="7"/>
        <v>307</v>
      </c>
      <c r="C55" s="27">
        <v>924</v>
      </c>
      <c r="D55" s="17" t="s">
        <v>594</v>
      </c>
      <c r="E55" s="424">
        <f t="shared" si="9"/>
        <v>9270228.6999999993</v>
      </c>
      <c r="F55" s="444">
        <v>0</v>
      </c>
      <c r="G55" s="444">
        <v>0</v>
      </c>
      <c r="H55" s="444">
        <v>0</v>
      </c>
      <c r="I55" s="444">
        <v>9270228.6999999993</v>
      </c>
      <c r="J55" s="444">
        <v>0</v>
      </c>
      <c r="K55" s="444">
        <v>0</v>
      </c>
      <c r="L55" s="444">
        <v>0</v>
      </c>
      <c r="M55" s="414"/>
      <c r="N55" s="76">
        <f t="shared" si="8"/>
        <v>307</v>
      </c>
      <c r="O55" s="509"/>
    </row>
    <row r="56" spans="1:15" s="17" customFormat="1">
      <c r="A56" s="131">
        <f t="shared" si="7"/>
        <v>308</v>
      </c>
      <c r="C56" s="27">
        <v>925</v>
      </c>
      <c r="D56" s="17" t="s">
        <v>632</v>
      </c>
      <c r="E56" s="424">
        <f t="shared" si="9"/>
        <v>-935713754.37941968</v>
      </c>
      <c r="F56" s="444">
        <v>0</v>
      </c>
      <c r="G56" s="444">
        <v>0</v>
      </c>
      <c r="H56" s="444">
        <v>37524608.719999999</v>
      </c>
      <c r="I56" s="444">
        <v>-934771881.6094197</v>
      </c>
      <c r="J56" s="444">
        <v>-38466481.489999995</v>
      </c>
      <c r="K56" s="444">
        <v>0</v>
      </c>
      <c r="L56" s="444">
        <v>0</v>
      </c>
      <c r="M56" s="414"/>
      <c r="N56" s="76">
        <f t="shared" si="8"/>
        <v>308</v>
      </c>
      <c r="O56" s="509"/>
    </row>
    <row r="57" spans="1:15" s="17" customFormat="1">
      <c r="A57" s="131">
        <f t="shared" si="7"/>
        <v>309</v>
      </c>
      <c r="C57" s="27">
        <v>926</v>
      </c>
      <c r="D57" s="17" t="s">
        <v>761</v>
      </c>
      <c r="E57" s="424">
        <f t="shared" si="9"/>
        <v>-3067475.6597176641</v>
      </c>
      <c r="F57" s="444">
        <v>0</v>
      </c>
      <c r="G57" s="444">
        <v>-3350771.8061537999</v>
      </c>
      <c r="H57" s="444">
        <v>2458762.9964014371</v>
      </c>
      <c r="I57" s="444">
        <v>-273296.606898</v>
      </c>
      <c r="J57" s="444">
        <v>-67839.40802100001</v>
      </c>
      <c r="K57" s="444">
        <v>-1593646.7659543252</v>
      </c>
      <c r="L57" s="444">
        <v>-240684.06909197595</v>
      </c>
      <c r="M57" s="414"/>
      <c r="N57" s="76">
        <f t="shared" si="8"/>
        <v>309</v>
      </c>
      <c r="O57" s="509"/>
    </row>
    <row r="58" spans="1:15" s="17" customFormat="1">
      <c r="A58" s="131">
        <f t="shared" si="7"/>
        <v>310</v>
      </c>
      <c r="C58" s="27">
        <v>927</v>
      </c>
      <c r="D58" s="17" t="s">
        <v>760</v>
      </c>
      <c r="E58" s="424">
        <f t="shared" si="9"/>
        <v>-116147800.59999999</v>
      </c>
      <c r="F58" s="444">
        <v>0</v>
      </c>
      <c r="G58" s="444">
        <v>0</v>
      </c>
      <c r="H58" s="444">
        <v>0</v>
      </c>
      <c r="I58" s="444">
        <v>-116147800.59999999</v>
      </c>
      <c r="J58" s="444">
        <v>0</v>
      </c>
      <c r="K58" s="444">
        <v>0</v>
      </c>
      <c r="L58" s="444">
        <v>0</v>
      </c>
      <c r="M58" s="414"/>
      <c r="N58" s="76">
        <f t="shared" si="8"/>
        <v>310</v>
      </c>
      <c r="O58" s="509"/>
    </row>
    <row r="59" spans="1:15" s="17" customFormat="1">
      <c r="A59" s="131">
        <f t="shared" si="7"/>
        <v>311</v>
      </c>
      <c r="C59" s="27">
        <v>928</v>
      </c>
      <c r="D59" s="17" t="s">
        <v>759</v>
      </c>
      <c r="E59" s="424">
        <f t="shared" si="9"/>
        <v>0</v>
      </c>
      <c r="F59" s="444">
        <v>0</v>
      </c>
      <c r="G59" s="444">
        <v>0</v>
      </c>
      <c r="H59" s="444">
        <v>0</v>
      </c>
      <c r="I59" s="444">
        <v>0</v>
      </c>
      <c r="J59" s="444">
        <v>0</v>
      </c>
      <c r="K59" s="444">
        <v>0</v>
      </c>
      <c r="L59" s="444">
        <v>0</v>
      </c>
      <c r="M59" s="677"/>
      <c r="N59" s="76">
        <f t="shared" si="8"/>
        <v>311</v>
      </c>
      <c r="O59" s="509"/>
    </row>
    <row r="60" spans="1:15" s="17" customFormat="1">
      <c r="A60" s="131">
        <f t="shared" si="7"/>
        <v>312</v>
      </c>
      <c r="C60" s="27">
        <v>929</v>
      </c>
      <c r="D60" s="17" t="s">
        <v>758</v>
      </c>
      <c r="E60" s="424">
        <f t="shared" si="9"/>
        <v>0</v>
      </c>
      <c r="F60" s="444">
        <v>0</v>
      </c>
      <c r="G60" s="444">
        <v>0</v>
      </c>
      <c r="H60" s="444">
        <v>0</v>
      </c>
      <c r="I60" s="444">
        <v>0</v>
      </c>
      <c r="J60" s="444">
        <v>0</v>
      </c>
      <c r="K60" s="444">
        <v>0</v>
      </c>
      <c r="L60" s="444">
        <v>0</v>
      </c>
      <c r="M60" s="677"/>
      <c r="N60" s="76">
        <f t="shared" si="8"/>
        <v>312</v>
      </c>
      <c r="O60" s="509"/>
    </row>
    <row r="61" spans="1:15" s="17" customFormat="1">
      <c r="A61" s="131">
        <f t="shared" si="7"/>
        <v>313</v>
      </c>
      <c r="C61" s="27">
        <v>930.1</v>
      </c>
      <c r="D61" s="17" t="s">
        <v>757</v>
      </c>
      <c r="E61" s="424">
        <f t="shared" si="9"/>
        <v>0</v>
      </c>
      <c r="F61" s="444">
        <v>0</v>
      </c>
      <c r="G61" s="444">
        <v>0</v>
      </c>
      <c r="H61" s="444">
        <v>0</v>
      </c>
      <c r="I61" s="444">
        <v>0</v>
      </c>
      <c r="J61" s="444">
        <v>0</v>
      </c>
      <c r="K61" s="444">
        <v>0</v>
      </c>
      <c r="L61" s="444">
        <v>0</v>
      </c>
      <c r="M61" s="49"/>
      <c r="N61" s="76">
        <f t="shared" si="8"/>
        <v>313</v>
      </c>
      <c r="O61" s="509"/>
    </row>
    <row r="62" spans="1:15" s="17" customFormat="1">
      <c r="A62" s="131">
        <f t="shared" si="7"/>
        <v>314</v>
      </c>
      <c r="C62" s="27">
        <v>930.2</v>
      </c>
      <c r="D62" s="17" t="s">
        <v>756</v>
      </c>
      <c r="E62" s="424">
        <f t="shared" si="9"/>
        <v>-10959494.520001184</v>
      </c>
      <c r="F62" s="444">
        <v>0</v>
      </c>
      <c r="G62" s="444">
        <v>0</v>
      </c>
      <c r="H62" s="444">
        <v>0</v>
      </c>
      <c r="I62" s="444">
        <v>-1169455.700001183</v>
      </c>
      <c r="J62" s="444">
        <v>-9790038.8200000003</v>
      </c>
      <c r="K62" s="444">
        <v>0</v>
      </c>
      <c r="L62" s="444">
        <v>0</v>
      </c>
      <c r="M62" s="49"/>
      <c r="N62" s="76">
        <f t="shared" si="8"/>
        <v>314</v>
      </c>
      <c r="O62" s="509"/>
    </row>
    <row r="63" spans="1:15" s="17" customFormat="1">
      <c r="A63" s="131">
        <f t="shared" si="7"/>
        <v>315</v>
      </c>
      <c r="C63" s="27">
        <v>931</v>
      </c>
      <c r="D63" s="17" t="s">
        <v>730</v>
      </c>
      <c r="E63" s="424">
        <f t="shared" si="9"/>
        <v>0</v>
      </c>
      <c r="F63" s="444">
        <v>0</v>
      </c>
      <c r="G63" s="444">
        <v>0</v>
      </c>
      <c r="H63" s="444">
        <v>0</v>
      </c>
      <c r="I63" s="444">
        <v>0</v>
      </c>
      <c r="J63" s="444">
        <v>0</v>
      </c>
      <c r="K63" s="444">
        <v>0</v>
      </c>
      <c r="L63" s="444">
        <v>0</v>
      </c>
      <c r="M63" s="677"/>
      <c r="N63" s="76">
        <f t="shared" si="8"/>
        <v>315</v>
      </c>
      <c r="O63" s="509"/>
    </row>
    <row r="64" spans="1:15" s="17" customFormat="1">
      <c r="A64" s="131">
        <f t="shared" si="7"/>
        <v>316</v>
      </c>
      <c r="C64" s="27">
        <v>935</v>
      </c>
      <c r="D64" s="17" t="s">
        <v>755</v>
      </c>
      <c r="E64" s="424">
        <f t="shared" si="9"/>
        <v>0</v>
      </c>
      <c r="F64" s="444">
        <v>0</v>
      </c>
      <c r="G64" s="444">
        <v>0</v>
      </c>
      <c r="H64" s="444">
        <v>0</v>
      </c>
      <c r="I64" s="444">
        <v>0</v>
      </c>
      <c r="J64" s="444">
        <v>0</v>
      </c>
      <c r="K64" s="444">
        <v>0</v>
      </c>
      <c r="L64" s="444">
        <v>0</v>
      </c>
      <c r="M64" s="678"/>
      <c r="N64" s="76">
        <f t="shared" si="8"/>
        <v>316</v>
      </c>
      <c r="O64" s="509"/>
    </row>
    <row r="65" spans="1:14" s="17" customFormat="1">
      <c r="A65" s="131">
        <f t="shared" si="7"/>
        <v>317</v>
      </c>
      <c r="D65" s="142" t="s">
        <v>1348</v>
      </c>
      <c r="E65" s="510">
        <f>SUM(E51:E64)</f>
        <v>-1068760379.3230779</v>
      </c>
      <c r="F65" s="510">
        <f>SUM(F51:F64)</f>
        <v>-6870490.3952240003</v>
      </c>
      <c r="G65" s="510">
        <f t="shared" ref="G65:M65" si="10">SUM(G51:G64)</f>
        <v>-22743087.846035272</v>
      </c>
      <c r="H65" s="510">
        <f t="shared" si="10"/>
        <v>39771456.979430437</v>
      </c>
      <c r="I65" s="510">
        <f t="shared" si="10"/>
        <v>-1043003388.238259</v>
      </c>
      <c r="J65" s="510">
        <f t="shared" si="10"/>
        <v>-33925025.258020997</v>
      </c>
      <c r="K65" s="510">
        <f t="shared" si="10"/>
        <v>-1890177.9839371885</v>
      </c>
      <c r="L65" s="510">
        <f t="shared" si="10"/>
        <v>-99666.58103199795</v>
      </c>
      <c r="M65" s="510">
        <f t="shared" si="10"/>
        <v>0</v>
      </c>
      <c r="N65" s="76">
        <f t="shared" si="8"/>
        <v>317</v>
      </c>
    </row>
    <row r="66" spans="1:14" s="17" customFormat="1">
      <c r="A66" s="131"/>
      <c r="E66" s="508"/>
      <c r="F66" s="508"/>
      <c r="G66" s="508"/>
      <c r="H66" s="508"/>
      <c r="I66" s="511"/>
      <c r="J66" s="508"/>
      <c r="K66" s="508"/>
      <c r="N66" s="131"/>
    </row>
    <row r="67" spans="1:14" s="17" customFormat="1">
      <c r="A67" s="131"/>
      <c r="I67" s="387"/>
      <c r="N67" s="131"/>
    </row>
    <row r="68" spans="1:14" s="17" customFormat="1">
      <c r="A68" s="131"/>
      <c r="C68" s="142" t="s">
        <v>127</v>
      </c>
      <c r="I68" s="387"/>
      <c r="N68" s="131"/>
    </row>
    <row r="69" spans="1:14">
      <c r="C69" s="338">
        <v>1</v>
      </c>
      <c r="D69" s="91" t="s">
        <v>1947</v>
      </c>
      <c r="E69" s="91"/>
      <c r="F69" s="794"/>
      <c r="G69" s="794"/>
      <c r="H69" s="794"/>
      <c r="I69" s="794"/>
      <c r="J69" s="794"/>
      <c r="K69" s="794"/>
      <c r="L69" s="91"/>
      <c r="M69" s="91"/>
    </row>
    <row r="70" spans="1:14">
      <c r="C70" s="338">
        <v>2</v>
      </c>
      <c r="D70" s="91" t="s">
        <v>1948</v>
      </c>
      <c r="E70" s="794"/>
      <c r="F70" s="794"/>
      <c r="G70" s="794"/>
      <c r="H70" s="794"/>
      <c r="I70" s="794"/>
      <c r="J70" s="794"/>
      <c r="K70" s="794"/>
      <c r="L70" s="91"/>
      <c r="M70" s="91"/>
    </row>
    <row r="71" spans="1:14" s="17" customFormat="1">
      <c r="A71" s="131"/>
      <c r="C71" s="131">
        <v>3</v>
      </c>
      <c r="D71" s="414" t="s">
        <v>1949</v>
      </c>
      <c r="E71" s="414"/>
      <c r="F71" s="414"/>
      <c r="G71" s="414"/>
      <c r="H71" s="414"/>
      <c r="I71" s="795"/>
      <c r="J71" s="414"/>
      <c r="K71" s="414"/>
      <c r="L71" s="414"/>
      <c r="M71" s="414"/>
      <c r="N71" s="131"/>
    </row>
    <row r="72" spans="1:14" s="17" customFormat="1">
      <c r="A72" s="131"/>
      <c r="C72" s="131">
        <v>4</v>
      </c>
      <c r="D72" s="414" t="s">
        <v>1950</v>
      </c>
      <c r="E72" s="414"/>
      <c r="F72" s="414"/>
      <c r="G72" s="414"/>
      <c r="H72" s="414"/>
      <c r="I72" s="795"/>
      <c r="J72" s="414"/>
      <c r="K72" s="414"/>
      <c r="L72" s="414"/>
      <c r="M72" s="414"/>
      <c r="N72" s="131"/>
    </row>
    <row r="73" spans="1:14" s="17" customFormat="1">
      <c r="A73" s="131"/>
      <c r="C73" s="8">
        <v>5</v>
      </c>
      <c r="D73" s="414" t="s">
        <v>1951</v>
      </c>
      <c r="E73" s="414"/>
      <c r="F73" s="414"/>
      <c r="G73" s="414"/>
      <c r="H73" s="414"/>
      <c r="I73" s="795"/>
      <c r="J73" s="414"/>
      <c r="K73" s="414"/>
      <c r="L73" s="414"/>
      <c r="M73" s="414"/>
      <c r="N73" s="131"/>
    </row>
    <row r="74" spans="1:14" s="17" customFormat="1">
      <c r="A74" s="131"/>
      <c r="C74" s="8">
        <v>6</v>
      </c>
      <c r="D74" s="414" t="s">
        <v>1952</v>
      </c>
      <c r="E74" s="414"/>
      <c r="F74" s="414"/>
      <c r="G74" s="414"/>
      <c r="H74" s="414"/>
      <c r="I74" s="795"/>
      <c r="J74" s="414"/>
      <c r="K74" s="414"/>
      <c r="L74" s="414"/>
      <c r="M74" s="414"/>
      <c r="N74" s="131"/>
    </row>
    <row r="75" spans="1:14" s="17" customFormat="1">
      <c r="A75" s="131"/>
      <c r="C75" s="8">
        <v>7</v>
      </c>
      <c r="D75" s="414" t="s">
        <v>1953</v>
      </c>
      <c r="E75" s="414"/>
      <c r="F75" s="414"/>
      <c r="G75" s="414"/>
      <c r="H75" s="414"/>
      <c r="I75" s="795"/>
      <c r="J75" s="414"/>
      <c r="K75" s="414"/>
      <c r="L75" s="414"/>
      <c r="M75" s="414"/>
      <c r="N75" s="131"/>
    </row>
    <row r="76" spans="1:14" s="17" customFormat="1">
      <c r="A76" s="131"/>
      <c r="C76" s="8">
        <v>8</v>
      </c>
      <c r="D76" s="414" t="s">
        <v>1954</v>
      </c>
      <c r="E76" s="414"/>
      <c r="F76" s="414"/>
      <c r="G76" s="414"/>
      <c r="H76" s="414"/>
      <c r="I76" s="795"/>
      <c r="J76" s="414"/>
      <c r="K76" s="414"/>
      <c r="L76" s="414"/>
      <c r="M76" s="414"/>
      <c r="N76" s="131"/>
    </row>
    <row r="77" spans="1:14" s="17" customFormat="1">
      <c r="A77" s="131"/>
      <c r="C77" s="8">
        <v>9</v>
      </c>
      <c r="D77" s="414" t="s">
        <v>1955</v>
      </c>
      <c r="E77" s="414"/>
      <c r="F77" s="414"/>
      <c r="G77" s="414"/>
      <c r="H77" s="414"/>
      <c r="I77" s="795"/>
      <c r="J77" s="414"/>
      <c r="K77" s="414"/>
      <c r="L77" s="414"/>
      <c r="M77" s="414"/>
      <c r="N77" s="131"/>
    </row>
    <row r="78" spans="1:14" s="17" customFormat="1">
      <c r="A78" s="131"/>
      <c r="C78" s="8">
        <v>10</v>
      </c>
      <c r="D78" s="414" t="s">
        <v>1349</v>
      </c>
      <c r="E78" s="414"/>
      <c r="F78" s="414"/>
      <c r="G78" s="414"/>
      <c r="H78" s="414"/>
      <c r="I78" s="795"/>
      <c r="J78" s="414"/>
      <c r="K78" s="414"/>
      <c r="L78" s="414"/>
      <c r="M78" s="414"/>
      <c r="N78" s="131"/>
    </row>
    <row r="79" spans="1:14" ht="15" customHeight="1">
      <c r="C79" s="131">
        <v>11</v>
      </c>
      <c r="D79" s="854" t="s">
        <v>1701</v>
      </c>
      <c r="E79" s="854"/>
      <c r="F79" s="854"/>
      <c r="G79" s="854"/>
      <c r="H79" s="854"/>
      <c r="I79" s="854"/>
      <c r="J79" s="854"/>
      <c r="K79" s="854"/>
      <c r="L79" s="854"/>
      <c r="M79" s="854"/>
    </row>
    <row r="80" spans="1:14" ht="63" customHeight="1">
      <c r="D80" s="854"/>
      <c r="E80" s="854"/>
      <c r="F80" s="854"/>
      <c r="G80" s="854"/>
      <c r="H80" s="854"/>
      <c r="I80" s="854"/>
      <c r="J80" s="854"/>
      <c r="K80" s="854"/>
      <c r="L80" s="854"/>
      <c r="M80" s="854"/>
    </row>
    <row r="81" spans="3:13">
      <c r="C81" s="8"/>
      <c r="D81" s="681"/>
      <c r="E81" s="681"/>
      <c r="F81" s="681"/>
      <c r="G81" s="681"/>
      <c r="H81" s="681"/>
      <c r="I81" s="699"/>
      <c r="J81" s="681"/>
      <c r="K81" s="681"/>
      <c r="L81" s="681"/>
      <c r="M81" s="681"/>
    </row>
    <row r="82" spans="3:13">
      <c r="C82" s="131"/>
    </row>
    <row r="83" spans="3:13">
      <c r="C83" s="8"/>
      <c r="D83" s="17"/>
    </row>
    <row r="84" spans="3:13">
      <c r="C84" s="8"/>
      <c r="D84" s="17"/>
    </row>
    <row r="85" spans="3:13">
      <c r="C85" s="8"/>
      <c r="D85" s="17"/>
    </row>
    <row r="86" spans="3:13">
      <c r="C86" s="8"/>
      <c r="D86" s="17"/>
    </row>
    <row r="87" spans="3:13">
      <c r="C87" s="8"/>
      <c r="D87" s="17"/>
    </row>
    <row r="88" spans="3:13">
      <c r="C88" s="8"/>
      <c r="D88" s="17"/>
    </row>
    <row r="89" spans="3:13">
      <c r="C89" s="8"/>
      <c r="D89" s="17"/>
    </row>
  </sheetData>
  <mergeCells count="2">
    <mergeCell ref="D45:E45"/>
    <mergeCell ref="D79:M80"/>
  </mergeCells>
  <printOptions horizontalCentered="1"/>
  <pageMargins left="1" right="1" top="1" bottom="1" header="0.5" footer="0.5"/>
  <pageSetup scale="39"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70"/>
  <sheetViews>
    <sheetView tabSelected="1" view="pageBreakPreview" topLeftCell="A18" zoomScale="55" zoomScaleNormal="85" zoomScaleSheetLayoutView="55" zoomScalePageLayoutView="70" workbookViewId="0">
      <selection activeCell="P108" sqref="P108"/>
    </sheetView>
  </sheetViews>
  <sheetFormatPr defaultColWidth="9.1796875" defaultRowHeight="14.5"/>
  <cols>
    <col min="1" max="1" width="4.7265625" bestFit="1" customWidth="1"/>
    <col min="2" max="2" width="10.453125" bestFit="1" customWidth="1"/>
    <col min="3" max="3" width="10.7265625" customWidth="1"/>
    <col min="4" max="4" width="65.453125" bestFit="1" customWidth="1"/>
    <col min="5" max="5" width="19.1796875" bestFit="1" customWidth="1"/>
    <col min="6" max="6" width="16.453125" bestFit="1" customWidth="1"/>
    <col min="7" max="7" width="15.7265625" bestFit="1" customWidth="1"/>
    <col min="8" max="8" width="16.81640625" bestFit="1" customWidth="1"/>
    <col min="9" max="9" width="17.26953125" bestFit="1" customWidth="1"/>
    <col min="10" max="10" width="28" bestFit="1" customWidth="1"/>
    <col min="11" max="11" width="4.7265625" bestFit="1" customWidth="1"/>
  </cols>
  <sheetData>
    <row r="1" spans="1:11">
      <c r="B1" s="12" t="s">
        <v>70</v>
      </c>
      <c r="I1" s="15"/>
      <c r="J1" s="15" t="str">
        <f>CONCATENATE("Prior Year: ",'1-BaseTRR'!$F$2)</f>
        <v>Prior Year: 2022</v>
      </c>
    </row>
    <row r="2" spans="1:11">
      <c r="B2" s="117" t="s">
        <v>196</v>
      </c>
      <c r="C2" s="49"/>
      <c r="I2" s="15"/>
      <c r="J2" s="15"/>
    </row>
    <row r="3" spans="1:11">
      <c r="A3" s="12"/>
      <c r="B3" s="142"/>
      <c r="J3" s="15"/>
      <c r="K3" s="12"/>
    </row>
    <row r="4" spans="1:11">
      <c r="B4" s="16" t="s">
        <v>135</v>
      </c>
      <c r="D4" s="317"/>
    </row>
    <row r="5" spans="1:11">
      <c r="B5" t="s">
        <v>854</v>
      </c>
    </row>
    <row r="7" spans="1:11">
      <c r="B7" s="13" t="s">
        <v>100</v>
      </c>
      <c r="C7" s="13" t="s">
        <v>101</v>
      </c>
      <c r="D7" s="13" t="s">
        <v>102</v>
      </c>
      <c r="E7" s="13" t="s">
        <v>103</v>
      </c>
      <c r="F7" s="13" t="s">
        <v>104</v>
      </c>
      <c r="G7" s="13" t="s">
        <v>105</v>
      </c>
      <c r="H7" s="13" t="s">
        <v>106</v>
      </c>
      <c r="I7" s="13" t="s">
        <v>107</v>
      </c>
      <c r="J7" s="13" t="s">
        <v>108</v>
      </c>
    </row>
    <row r="8" spans="1:11">
      <c r="B8" s="8"/>
      <c r="C8" s="8"/>
      <c r="D8" s="8"/>
      <c r="E8" s="8"/>
      <c r="F8" s="8"/>
      <c r="G8" s="8"/>
      <c r="H8" s="8" t="s">
        <v>853</v>
      </c>
      <c r="I8" s="8"/>
      <c r="J8" s="8"/>
    </row>
    <row r="9" spans="1:11" ht="29">
      <c r="A9" s="13" t="s">
        <v>124</v>
      </c>
      <c r="B9" s="13" t="s">
        <v>852</v>
      </c>
      <c r="C9" s="168" t="s">
        <v>851</v>
      </c>
      <c r="D9" s="13" t="s">
        <v>850</v>
      </c>
      <c r="E9" s="13" t="s">
        <v>1479</v>
      </c>
      <c r="F9" s="168" t="s">
        <v>849</v>
      </c>
      <c r="G9" s="168" t="s">
        <v>848</v>
      </c>
      <c r="H9" s="168" t="s">
        <v>847</v>
      </c>
      <c r="I9" s="168" t="s">
        <v>846</v>
      </c>
      <c r="J9" s="168" t="s">
        <v>11</v>
      </c>
      <c r="K9" s="13" t="str">
        <f>A9</f>
        <v>Line</v>
      </c>
    </row>
    <row r="10" spans="1:11" ht="29">
      <c r="A10" s="8">
        <v>100</v>
      </c>
      <c r="D10" s="15" t="s">
        <v>1298</v>
      </c>
      <c r="E10" s="353">
        <f>E14+E20+E30+E36+E44</f>
        <v>-188481714.35000002</v>
      </c>
      <c r="F10" s="353">
        <f>F14+F20+F30+F36+F44</f>
        <v>8798136.9227079917</v>
      </c>
      <c r="G10" s="353">
        <f t="shared" ref="G10:I10" si="0">G14+G20+G30+G36+G44</f>
        <v>5808351.8970920127</v>
      </c>
      <c r="H10" s="353">
        <f t="shared" si="0"/>
        <v>14606488.819800004</v>
      </c>
      <c r="I10" s="353">
        <f t="shared" si="0"/>
        <v>67852564.349999994</v>
      </c>
      <c r="J10" s="44" t="s">
        <v>1297</v>
      </c>
      <c r="K10" s="13">
        <f>A10</f>
        <v>100</v>
      </c>
    </row>
    <row r="11" spans="1:11">
      <c r="A11" s="13"/>
      <c r="E11" s="15"/>
      <c r="F11" s="25"/>
      <c r="G11" s="25"/>
      <c r="H11" s="25"/>
      <c r="I11" s="25"/>
      <c r="J11" s="168"/>
      <c r="K11" s="13"/>
    </row>
    <row r="12" spans="1:11">
      <c r="A12" s="13"/>
      <c r="B12" s="52" t="s">
        <v>844</v>
      </c>
      <c r="C12" s="354"/>
      <c r="D12" s="354"/>
      <c r="E12" s="354"/>
      <c r="F12" s="54"/>
      <c r="G12" s="54"/>
      <c r="H12" s="54"/>
      <c r="I12" s="54"/>
      <c r="J12" s="54"/>
    </row>
    <row r="13" spans="1:11">
      <c r="A13" s="8">
        <v>200</v>
      </c>
      <c r="B13" s="30"/>
      <c r="D13" s="130" t="s">
        <v>2015</v>
      </c>
      <c r="E13" s="498">
        <v>108292</v>
      </c>
      <c r="F13" s="333"/>
      <c r="G13" s="333"/>
      <c r="H13" s="333"/>
      <c r="I13" s="333"/>
      <c r="J13" s="333"/>
      <c r="K13" s="8">
        <f>A13</f>
        <v>200</v>
      </c>
    </row>
    <row r="14" spans="1:11">
      <c r="A14" s="8">
        <f>A13+1</f>
        <v>201</v>
      </c>
      <c r="B14" s="30"/>
      <c r="D14" s="130" t="s">
        <v>845</v>
      </c>
      <c r="E14" s="353">
        <f>SUM(E15:E17)</f>
        <v>108291.5</v>
      </c>
      <c r="F14" s="353">
        <f>SUM(F15:F17)</f>
        <v>0</v>
      </c>
      <c r="G14" s="353">
        <f>SUM(G15:G17)</f>
        <v>0</v>
      </c>
      <c r="H14" s="353">
        <f>SUM(F14:G14)</f>
        <v>0</v>
      </c>
      <c r="I14" s="353">
        <f>SUM(I15:I17)</f>
        <v>0</v>
      </c>
      <c r="J14" s="333"/>
      <c r="K14" s="8">
        <f>A14</f>
        <v>201</v>
      </c>
    </row>
    <row r="15" spans="1:11">
      <c r="A15" s="8">
        <f>A14+1</f>
        <v>202</v>
      </c>
      <c r="B15" s="30">
        <v>450</v>
      </c>
      <c r="C15">
        <v>4500000</v>
      </c>
      <c r="D15" s="17" t="s">
        <v>844</v>
      </c>
      <c r="E15" s="352">
        <v>108291.5</v>
      </c>
      <c r="F15" s="352"/>
      <c r="G15" s="352"/>
      <c r="H15" s="33">
        <f>SUM(F15:G15)</f>
        <v>0</v>
      </c>
      <c r="I15" s="352"/>
      <c r="J15" s="333" t="s">
        <v>126</v>
      </c>
      <c r="K15" s="8">
        <f>A15</f>
        <v>202</v>
      </c>
    </row>
    <row r="16" spans="1:11">
      <c r="A16" s="8">
        <f>A15+1</f>
        <v>203</v>
      </c>
      <c r="B16" s="56"/>
      <c r="C16" s="49"/>
      <c r="D16" s="414"/>
      <c r="E16" s="352"/>
      <c r="F16" s="352"/>
      <c r="G16" s="352"/>
      <c r="H16" s="33">
        <f>SUM(F16:G16)</f>
        <v>0</v>
      </c>
      <c r="I16" s="352"/>
      <c r="J16" s="333"/>
      <c r="K16" s="8">
        <f>A16</f>
        <v>203</v>
      </c>
    </row>
    <row r="17" spans="1:11">
      <c r="A17" s="8">
        <f>A16+1</f>
        <v>204</v>
      </c>
      <c r="B17" s="351" t="s">
        <v>322</v>
      </c>
      <c r="C17" s="49"/>
      <c r="D17" s="414"/>
      <c r="E17" s="352"/>
      <c r="F17" s="352"/>
      <c r="G17" s="352"/>
      <c r="H17" s="33">
        <f>SUM(F17:G17)</f>
        <v>0</v>
      </c>
      <c r="I17" s="352"/>
      <c r="J17" s="333"/>
      <c r="K17" s="8">
        <f>A17</f>
        <v>204</v>
      </c>
    </row>
    <row r="18" spans="1:11">
      <c r="A18" s="8"/>
      <c r="B18" s="57" t="s">
        <v>842</v>
      </c>
      <c r="C18" s="54"/>
      <c r="D18" s="144"/>
      <c r="E18" s="54"/>
      <c r="F18" s="54"/>
      <c r="G18" s="54"/>
      <c r="H18" s="54"/>
      <c r="I18" s="54"/>
      <c r="J18" s="54"/>
      <c r="K18" s="8"/>
    </row>
    <row r="19" spans="1:11">
      <c r="A19" s="8">
        <v>300</v>
      </c>
      <c r="B19" s="30"/>
      <c r="D19" s="130" t="s">
        <v>2016</v>
      </c>
      <c r="E19" s="498">
        <v>7068124</v>
      </c>
      <c r="F19" s="353"/>
      <c r="G19" s="353"/>
      <c r="H19" s="353"/>
      <c r="I19" s="33"/>
      <c r="J19" s="333"/>
      <c r="K19" s="8">
        <f t="shared" ref="K19:K27" si="1">A19</f>
        <v>300</v>
      </c>
    </row>
    <row r="20" spans="1:11">
      <c r="A20" s="8">
        <f t="shared" ref="A20:A27" si="2">A19+1</f>
        <v>301</v>
      </c>
      <c r="B20" s="30"/>
      <c r="D20" s="130" t="s">
        <v>843</v>
      </c>
      <c r="E20" s="353">
        <f>SUM(E21:E27)</f>
        <v>7068124.4299999997</v>
      </c>
      <c r="F20" s="353">
        <f>SUM(F21:F27)</f>
        <v>0</v>
      </c>
      <c r="G20" s="353">
        <f>SUM(G21:G27)</f>
        <v>0</v>
      </c>
      <c r="H20" s="353">
        <f t="shared" ref="H20:H27" si="3">SUM(F20:G20)</f>
        <v>0</v>
      </c>
      <c r="I20" s="353">
        <f>SUM(I21:I27)</f>
        <v>480570.68000000005</v>
      </c>
      <c r="J20" s="333"/>
      <c r="K20" s="8">
        <f t="shared" si="1"/>
        <v>301</v>
      </c>
    </row>
    <row r="21" spans="1:11">
      <c r="A21" s="8">
        <f t="shared" si="2"/>
        <v>302</v>
      </c>
      <c r="B21" s="30">
        <v>451</v>
      </c>
      <c r="C21">
        <v>4510000</v>
      </c>
      <c r="D21" s="17" t="s">
        <v>842</v>
      </c>
      <c r="E21" s="352">
        <v>1490447.08</v>
      </c>
      <c r="F21" s="352"/>
      <c r="G21" s="352"/>
      <c r="H21" s="33">
        <f t="shared" si="3"/>
        <v>0</v>
      </c>
      <c r="I21" s="352"/>
      <c r="J21" s="333" t="s">
        <v>126</v>
      </c>
      <c r="K21" s="8">
        <f t="shared" si="1"/>
        <v>302</v>
      </c>
    </row>
    <row r="22" spans="1:11">
      <c r="A22" s="8">
        <f t="shared" si="2"/>
        <v>303</v>
      </c>
      <c r="B22" s="30">
        <v>451</v>
      </c>
      <c r="C22">
        <v>4510007</v>
      </c>
      <c r="D22" s="17" t="s">
        <v>841</v>
      </c>
      <c r="E22" s="352">
        <v>614069.44000000006</v>
      </c>
      <c r="F22" s="352"/>
      <c r="G22" s="352"/>
      <c r="H22" s="33">
        <f t="shared" si="3"/>
        <v>0</v>
      </c>
      <c r="I22" s="352">
        <v>480570.68000000005</v>
      </c>
      <c r="J22" s="333" t="s">
        <v>126</v>
      </c>
      <c r="K22" s="8">
        <f t="shared" si="1"/>
        <v>303</v>
      </c>
    </row>
    <row r="23" spans="1:11">
      <c r="A23" s="8">
        <f t="shared" si="2"/>
        <v>304</v>
      </c>
      <c r="B23" s="30">
        <v>451</v>
      </c>
      <c r="C23">
        <v>4510040</v>
      </c>
      <c r="D23" s="17" t="s">
        <v>840</v>
      </c>
      <c r="E23" s="352">
        <v>3411764.95</v>
      </c>
      <c r="F23" s="352"/>
      <c r="G23" s="352"/>
      <c r="H23" s="33">
        <f t="shared" si="3"/>
        <v>0</v>
      </c>
      <c r="I23" s="352"/>
      <c r="J23" s="333" t="s">
        <v>126</v>
      </c>
      <c r="K23" s="8">
        <f t="shared" si="1"/>
        <v>304</v>
      </c>
    </row>
    <row r="24" spans="1:11">
      <c r="A24" s="8">
        <f t="shared" si="2"/>
        <v>305</v>
      </c>
      <c r="B24" s="30">
        <v>451</v>
      </c>
      <c r="C24">
        <v>4510041</v>
      </c>
      <c r="D24" s="17" t="s">
        <v>839</v>
      </c>
      <c r="E24" s="352">
        <v>810021.14</v>
      </c>
      <c r="F24" s="352"/>
      <c r="G24" s="352"/>
      <c r="H24" s="33">
        <f t="shared" si="3"/>
        <v>0</v>
      </c>
      <c r="I24" s="352"/>
      <c r="J24" s="333" t="s">
        <v>126</v>
      </c>
      <c r="K24" s="8">
        <f t="shared" si="1"/>
        <v>305</v>
      </c>
    </row>
    <row r="25" spans="1:11">
      <c r="A25" s="8">
        <f t="shared" si="2"/>
        <v>306</v>
      </c>
      <c r="B25" s="30">
        <v>451</v>
      </c>
      <c r="C25">
        <v>4510043</v>
      </c>
      <c r="D25" s="17" t="s">
        <v>838</v>
      </c>
      <c r="E25" s="352">
        <v>741821.81999999983</v>
      </c>
      <c r="F25" s="352"/>
      <c r="G25" s="352"/>
      <c r="H25" s="33">
        <f t="shared" si="3"/>
        <v>0</v>
      </c>
      <c r="I25" s="352"/>
      <c r="J25" s="333" t="s">
        <v>126</v>
      </c>
      <c r="K25" s="8">
        <f t="shared" si="1"/>
        <v>306</v>
      </c>
    </row>
    <row r="26" spans="1:11">
      <c r="A26" s="8">
        <f t="shared" si="2"/>
        <v>307</v>
      </c>
      <c r="B26" s="56"/>
      <c r="C26" s="49"/>
      <c r="D26" s="414"/>
      <c r="E26" s="352"/>
      <c r="F26" s="352"/>
      <c r="G26" s="352"/>
      <c r="H26" s="33">
        <f t="shared" si="3"/>
        <v>0</v>
      </c>
      <c r="I26" s="352"/>
      <c r="J26" s="333"/>
      <c r="K26" s="8">
        <f t="shared" si="1"/>
        <v>307</v>
      </c>
    </row>
    <row r="27" spans="1:11">
      <c r="A27" s="8">
        <f t="shared" si="2"/>
        <v>308</v>
      </c>
      <c r="B27" s="351" t="s">
        <v>322</v>
      </c>
      <c r="C27" s="49"/>
      <c r="D27" s="414"/>
      <c r="E27" s="352"/>
      <c r="F27" s="352"/>
      <c r="G27" s="352"/>
      <c r="H27" s="33">
        <f t="shared" si="3"/>
        <v>0</v>
      </c>
      <c r="I27" s="352"/>
      <c r="J27" s="333"/>
      <c r="K27" s="8">
        <f t="shared" si="1"/>
        <v>308</v>
      </c>
    </row>
    <row r="28" spans="1:11">
      <c r="A28" s="8"/>
      <c r="B28" s="57" t="s">
        <v>836</v>
      </c>
      <c r="C28" s="54"/>
      <c r="D28" s="144"/>
      <c r="E28" s="54"/>
      <c r="F28" s="54"/>
      <c r="G28" s="54"/>
      <c r="H28" s="54"/>
      <c r="I28" s="54"/>
      <c r="J28" s="54"/>
      <c r="K28" s="8"/>
    </row>
    <row r="29" spans="1:11">
      <c r="A29" s="8">
        <v>400</v>
      </c>
      <c r="B29" s="30"/>
      <c r="D29" s="130" t="s">
        <v>2017</v>
      </c>
      <c r="E29" s="498">
        <v>4603372</v>
      </c>
      <c r="F29" s="353"/>
      <c r="G29" s="353"/>
      <c r="H29" s="353"/>
      <c r="I29" s="33"/>
      <c r="J29" s="333"/>
      <c r="K29" s="8">
        <f>A29</f>
        <v>400</v>
      </c>
    </row>
    <row r="30" spans="1:11">
      <c r="A30" s="8">
        <f>A29+1</f>
        <v>401</v>
      </c>
      <c r="B30" s="30"/>
      <c r="D30" s="130" t="s">
        <v>837</v>
      </c>
      <c r="E30" s="353">
        <f>SUM(E31:E33)</f>
        <v>4603372.1500000004</v>
      </c>
      <c r="F30" s="353">
        <f>SUM(F31:F33)</f>
        <v>0</v>
      </c>
      <c r="G30" s="353">
        <f>SUM(G31:G33)</f>
        <v>0</v>
      </c>
      <c r="H30" s="353">
        <f>SUM(F30:G30)</f>
        <v>0</v>
      </c>
      <c r="I30" s="353">
        <f>SUM(I31:I33)</f>
        <v>0</v>
      </c>
      <c r="J30" s="333"/>
      <c r="K30" s="8">
        <f>A30</f>
        <v>401</v>
      </c>
    </row>
    <row r="31" spans="1:11">
      <c r="A31" s="8">
        <f>A30+1</f>
        <v>402</v>
      </c>
      <c r="B31" s="30">
        <v>453</v>
      </c>
      <c r="C31">
        <v>4530000</v>
      </c>
      <c r="D31" s="17" t="s">
        <v>836</v>
      </c>
      <c r="E31" s="352">
        <v>4603372.1500000004</v>
      </c>
      <c r="F31" s="352"/>
      <c r="G31" s="352"/>
      <c r="H31" s="33">
        <f>SUM(F31:G31)</f>
        <v>0</v>
      </c>
      <c r="I31" s="352"/>
      <c r="J31" s="333" t="s">
        <v>126</v>
      </c>
      <c r="K31" s="8">
        <f>A31</f>
        <v>402</v>
      </c>
    </row>
    <row r="32" spans="1:11">
      <c r="A32" s="8">
        <f>A31+1</f>
        <v>403</v>
      </c>
      <c r="B32" s="56"/>
      <c r="C32" s="49"/>
      <c r="D32" s="414"/>
      <c r="E32" s="352"/>
      <c r="F32" s="352"/>
      <c r="G32" s="352"/>
      <c r="H32" s="33">
        <f>SUM(F32:G32)</f>
        <v>0</v>
      </c>
      <c r="I32" s="352"/>
      <c r="J32" s="333"/>
      <c r="K32" s="8">
        <f>A32</f>
        <v>403</v>
      </c>
    </row>
    <row r="33" spans="1:11">
      <c r="A33" s="8">
        <f>A32+1</f>
        <v>404</v>
      </c>
      <c r="B33" s="351" t="s">
        <v>1404</v>
      </c>
      <c r="C33" s="49"/>
      <c r="D33" s="414"/>
      <c r="E33" s="352"/>
      <c r="F33" s="352"/>
      <c r="G33" s="352"/>
      <c r="H33" s="33">
        <f>SUM(F33:G33)</f>
        <v>0</v>
      </c>
      <c r="I33" s="352"/>
      <c r="J33" s="333"/>
      <c r="K33" s="8">
        <f>A33</f>
        <v>404</v>
      </c>
    </row>
    <row r="34" spans="1:11">
      <c r="A34" s="8"/>
      <c r="B34" s="57" t="s">
        <v>730</v>
      </c>
      <c r="C34" s="54"/>
      <c r="D34" s="144"/>
      <c r="E34" s="54"/>
      <c r="F34" s="54"/>
      <c r="G34" s="54"/>
      <c r="H34" s="54"/>
      <c r="I34" s="54"/>
      <c r="J34" s="54"/>
      <c r="K34" s="8"/>
    </row>
    <row r="35" spans="1:11">
      <c r="A35" s="8">
        <v>500</v>
      </c>
      <c r="B35" s="30"/>
      <c r="D35" s="130" t="s">
        <v>2018</v>
      </c>
      <c r="E35" s="498">
        <v>61810991</v>
      </c>
      <c r="F35" s="353"/>
      <c r="G35" s="353"/>
      <c r="H35" s="353"/>
      <c r="I35" s="33"/>
      <c r="J35" s="333"/>
      <c r="K35" s="8">
        <f t="shared" ref="K35:K41" si="4">A35</f>
        <v>500</v>
      </c>
    </row>
    <row r="36" spans="1:11">
      <c r="A36" s="8">
        <f t="shared" ref="A36:A41" si="5">A35+1</f>
        <v>501</v>
      </c>
      <c r="B36" s="30"/>
      <c r="D36" s="130" t="s">
        <v>835</v>
      </c>
      <c r="E36" s="353">
        <f>SUM(E37:E41)</f>
        <v>61810991.179999992</v>
      </c>
      <c r="F36" s="353">
        <f>SUM(F37:F41)</f>
        <v>2992466.9263000055</v>
      </c>
      <c r="G36" s="353">
        <f>SUM(G37:G41)</f>
        <v>3431192.4534999984</v>
      </c>
      <c r="H36" s="353">
        <f t="shared" ref="H36:H41" si="6">SUM(F36:G36)</f>
        <v>6423659.379800004</v>
      </c>
      <c r="I36" s="353">
        <f>SUM(I37:I41)</f>
        <v>14702473.039999999</v>
      </c>
      <c r="J36" s="333"/>
      <c r="K36" s="8">
        <f t="shared" si="4"/>
        <v>501</v>
      </c>
    </row>
    <row r="37" spans="1:11">
      <c r="A37" s="8">
        <f t="shared" si="5"/>
        <v>502</v>
      </c>
      <c r="B37" s="30">
        <v>454</v>
      </c>
      <c r="C37">
        <v>4540010</v>
      </c>
      <c r="D37" s="17" t="s">
        <v>834</v>
      </c>
      <c r="E37" s="352">
        <v>39578694.519999996</v>
      </c>
      <c r="F37" s="352">
        <v>2992466.9263000055</v>
      </c>
      <c r="G37" s="352">
        <v>3431192.4534999984</v>
      </c>
      <c r="H37" s="33">
        <f t="shared" si="6"/>
        <v>6423659.379800004</v>
      </c>
      <c r="I37" s="352"/>
      <c r="J37" s="333" t="s">
        <v>833</v>
      </c>
      <c r="K37" s="8">
        <f t="shared" si="4"/>
        <v>502</v>
      </c>
    </row>
    <row r="38" spans="1:11">
      <c r="A38" s="8">
        <f t="shared" si="5"/>
        <v>503</v>
      </c>
      <c r="B38" s="30">
        <v>454</v>
      </c>
      <c r="C38">
        <v>4540012</v>
      </c>
      <c r="D38" s="17" t="s">
        <v>832</v>
      </c>
      <c r="E38" s="352">
        <v>15959486.329999998</v>
      </c>
      <c r="F38" s="352"/>
      <c r="G38" s="352"/>
      <c r="H38" s="33">
        <f t="shared" si="6"/>
        <v>0</v>
      </c>
      <c r="I38" s="352">
        <v>9575995.6799999997</v>
      </c>
      <c r="J38" s="333" t="s">
        <v>126</v>
      </c>
      <c r="K38" s="8">
        <f t="shared" si="4"/>
        <v>503</v>
      </c>
    </row>
    <row r="39" spans="1:11">
      <c r="A39" s="8">
        <f t="shared" si="5"/>
        <v>504</v>
      </c>
      <c r="B39" s="30">
        <v>454</v>
      </c>
      <c r="C39">
        <v>4540013</v>
      </c>
      <c r="D39" t="s">
        <v>831</v>
      </c>
      <c r="E39" s="352">
        <v>6272810.3300000001</v>
      </c>
      <c r="F39" s="352"/>
      <c r="G39" s="352"/>
      <c r="H39" s="33">
        <f t="shared" si="6"/>
        <v>0</v>
      </c>
      <c r="I39" s="352">
        <v>5126477.3600000003</v>
      </c>
      <c r="J39" s="333" t="s">
        <v>126</v>
      </c>
      <c r="K39" s="8">
        <f t="shared" si="4"/>
        <v>504</v>
      </c>
    </row>
    <row r="40" spans="1:11">
      <c r="A40" s="8">
        <f t="shared" si="5"/>
        <v>505</v>
      </c>
      <c r="B40" s="56"/>
      <c r="C40" s="49"/>
      <c r="D40" s="49"/>
      <c r="E40" s="352"/>
      <c r="F40" s="352"/>
      <c r="G40" s="352"/>
      <c r="H40" s="33">
        <f t="shared" si="6"/>
        <v>0</v>
      </c>
      <c r="I40" s="352"/>
      <c r="J40" s="333"/>
      <c r="K40" s="8">
        <f t="shared" si="4"/>
        <v>505</v>
      </c>
    </row>
    <row r="41" spans="1:11">
      <c r="A41" s="8">
        <f t="shared" si="5"/>
        <v>506</v>
      </c>
      <c r="B41" s="351" t="s">
        <v>1404</v>
      </c>
      <c r="C41" s="49"/>
      <c r="D41" s="49"/>
      <c r="E41" s="352"/>
      <c r="F41" s="352"/>
      <c r="G41" s="352"/>
      <c r="H41" s="33">
        <f t="shared" si="6"/>
        <v>0</v>
      </c>
      <c r="I41" s="352"/>
      <c r="J41" s="333"/>
      <c r="K41" s="8">
        <f t="shared" si="4"/>
        <v>506</v>
      </c>
    </row>
    <row r="42" spans="1:11">
      <c r="A42" s="8"/>
      <c r="B42" s="57" t="s">
        <v>830</v>
      </c>
      <c r="C42" s="54"/>
      <c r="D42" s="54"/>
      <c r="E42" s="54"/>
      <c r="F42" s="54"/>
      <c r="G42" s="54"/>
      <c r="H42" s="54"/>
      <c r="I42" s="54"/>
      <c r="J42" s="54"/>
      <c r="K42" s="8"/>
    </row>
    <row r="43" spans="1:11">
      <c r="A43" s="8">
        <v>600</v>
      </c>
      <c r="B43" s="30"/>
      <c r="D43" s="130" t="s">
        <v>2019</v>
      </c>
      <c r="E43" s="498">
        <v>-262072494</v>
      </c>
      <c r="F43" s="353"/>
      <c r="G43" s="353"/>
      <c r="H43" s="353"/>
      <c r="I43" s="33"/>
      <c r="J43" s="17" t="s">
        <v>125</v>
      </c>
      <c r="K43" s="8">
        <f t="shared" ref="K43:K63" si="7">A43</f>
        <v>600</v>
      </c>
    </row>
    <row r="44" spans="1:11">
      <c r="A44" s="8">
        <f t="shared" ref="A44:A63" si="8">A43+1</f>
        <v>601</v>
      </c>
      <c r="B44" s="30"/>
      <c r="D44" s="15" t="s">
        <v>829</v>
      </c>
      <c r="E44" s="353">
        <f>SUM(E45:E63)</f>
        <v>-262072493.61000001</v>
      </c>
      <c r="F44" s="353">
        <f>SUM(F45:F63)</f>
        <v>5805669.9964079857</v>
      </c>
      <c r="G44" s="353">
        <f>SUM(G45:G63)</f>
        <v>2377159.4435920138</v>
      </c>
      <c r="H44" s="353">
        <f t="shared" ref="H44:H61" si="9">SUM(F44:G44)</f>
        <v>8182829.4399999995</v>
      </c>
      <c r="I44" s="353">
        <f>SUM(I45:I63)</f>
        <v>52669520.630000003</v>
      </c>
      <c r="J44" s="333"/>
      <c r="K44" s="8">
        <f t="shared" si="7"/>
        <v>601</v>
      </c>
    </row>
    <row r="45" spans="1:11">
      <c r="A45" s="8">
        <f t="shared" si="8"/>
        <v>602</v>
      </c>
      <c r="B45" s="30">
        <v>456</v>
      </c>
      <c r="C45">
        <v>4560099</v>
      </c>
      <c r="D45" t="s">
        <v>828</v>
      </c>
      <c r="E45" s="352">
        <v>117755287.68000001</v>
      </c>
      <c r="F45" s="352"/>
      <c r="G45" s="352"/>
      <c r="H45" s="33">
        <f t="shared" si="9"/>
        <v>0</v>
      </c>
      <c r="I45" s="352"/>
      <c r="J45" s="333" t="s">
        <v>126</v>
      </c>
      <c r="K45" s="8">
        <f t="shared" si="7"/>
        <v>602</v>
      </c>
    </row>
    <row r="46" spans="1:11">
      <c r="A46" s="8">
        <f t="shared" si="8"/>
        <v>603</v>
      </c>
      <c r="B46" s="30">
        <v>456</v>
      </c>
      <c r="D46" t="s">
        <v>827</v>
      </c>
      <c r="E46" s="352">
        <v>611916.92000000004</v>
      </c>
      <c r="F46" s="352"/>
      <c r="G46" s="352"/>
      <c r="H46" s="33">
        <f t="shared" si="9"/>
        <v>0</v>
      </c>
      <c r="I46" s="352"/>
      <c r="J46" s="333" t="s">
        <v>126</v>
      </c>
      <c r="K46" s="8">
        <f t="shared" si="7"/>
        <v>603</v>
      </c>
    </row>
    <row r="47" spans="1:11">
      <c r="A47" s="8">
        <f t="shared" si="8"/>
        <v>604</v>
      </c>
      <c r="B47" s="30">
        <v>456</v>
      </c>
      <c r="C47">
        <v>4560050</v>
      </c>
      <c r="D47" t="s">
        <v>826</v>
      </c>
      <c r="E47" s="352">
        <v>1295482</v>
      </c>
      <c r="F47" s="352"/>
      <c r="G47" s="352"/>
      <c r="H47" s="33">
        <f t="shared" si="9"/>
        <v>0</v>
      </c>
      <c r="I47" s="352"/>
      <c r="J47" s="333" t="s">
        <v>126</v>
      </c>
      <c r="K47" s="8">
        <f t="shared" si="7"/>
        <v>604</v>
      </c>
    </row>
    <row r="48" spans="1:11">
      <c r="A48" s="8">
        <f t="shared" si="8"/>
        <v>605</v>
      </c>
      <c r="B48" s="30">
        <v>456</v>
      </c>
      <c r="C48">
        <v>4560070</v>
      </c>
      <c r="D48" t="s">
        <v>825</v>
      </c>
      <c r="E48" s="352">
        <v>3271.6</v>
      </c>
      <c r="F48" s="352"/>
      <c r="G48" s="352"/>
      <c r="H48" s="33">
        <f t="shared" si="9"/>
        <v>0</v>
      </c>
      <c r="I48" s="352"/>
      <c r="J48" s="333" t="s">
        <v>126</v>
      </c>
      <c r="K48" s="8">
        <f t="shared" si="7"/>
        <v>605</v>
      </c>
    </row>
    <row r="49" spans="1:11">
      <c r="A49" s="8">
        <f t="shared" si="8"/>
        <v>606</v>
      </c>
      <c r="B49" s="30">
        <v>456</v>
      </c>
      <c r="C49">
        <v>4560014</v>
      </c>
      <c r="D49" t="s">
        <v>824</v>
      </c>
      <c r="E49" s="352">
        <v>93207.19</v>
      </c>
      <c r="F49" s="352"/>
      <c r="G49" s="352"/>
      <c r="H49" s="33">
        <f t="shared" si="9"/>
        <v>0</v>
      </c>
      <c r="I49" s="352"/>
      <c r="J49" s="333" t="s">
        <v>126</v>
      </c>
      <c r="K49" s="8">
        <f t="shared" si="7"/>
        <v>606</v>
      </c>
    </row>
    <row r="50" spans="1:11">
      <c r="A50" s="8">
        <f t="shared" si="8"/>
        <v>607</v>
      </c>
      <c r="B50" s="30">
        <v>456</v>
      </c>
      <c r="C50">
        <v>4560022</v>
      </c>
      <c r="D50" t="s">
        <v>823</v>
      </c>
      <c r="E50" s="352">
        <v>1134941.74</v>
      </c>
      <c r="F50" s="352"/>
      <c r="G50" s="352"/>
      <c r="H50" s="33">
        <f t="shared" si="9"/>
        <v>0</v>
      </c>
      <c r="I50" s="352"/>
      <c r="J50" s="333" t="s">
        <v>126</v>
      </c>
      <c r="K50" s="8">
        <f t="shared" si="7"/>
        <v>607</v>
      </c>
    </row>
    <row r="51" spans="1:11">
      <c r="A51" s="8">
        <f t="shared" si="8"/>
        <v>608</v>
      </c>
      <c r="B51" s="30">
        <v>456</v>
      </c>
      <c r="C51">
        <v>4560093</v>
      </c>
      <c r="D51" t="s">
        <v>822</v>
      </c>
      <c r="E51" s="352">
        <v>4529.79</v>
      </c>
      <c r="F51" s="352"/>
      <c r="G51" s="352"/>
      <c r="H51" s="33">
        <f t="shared" si="9"/>
        <v>0</v>
      </c>
      <c r="I51" s="352"/>
      <c r="J51" s="333" t="s">
        <v>126</v>
      </c>
      <c r="K51" s="8">
        <f t="shared" si="7"/>
        <v>608</v>
      </c>
    </row>
    <row r="52" spans="1:11">
      <c r="A52" s="8">
        <f t="shared" si="8"/>
        <v>609</v>
      </c>
      <c r="B52" s="30">
        <v>456</v>
      </c>
      <c r="C52">
        <v>4560091</v>
      </c>
      <c r="D52" t="s">
        <v>821</v>
      </c>
      <c r="E52" s="352">
        <v>44441875.380000003</v>
      </c>
      <c r="F52" s="352"/>
      <c r="G52" s="352"/>
      <c r="H52" s="33">
        <f t="shared" si="9"/>
        <v>0</v>
      </c>
      <c r="I52" s="352"/>
      <c r="J52" s="333" t="s">
        <v>126</v>
      </c>
      <c r="K52" s="8">
        <f t="shared" si="7"/>
        <v>609</v>
      </c>
    </row>
    <row r="53" spans="1:11">
      <c r="A53" s="8">
        <f t="shared" si="8"/>
        <v>610</v>
      </c>
      <c r="B53" s="30">
        <v>456</v>
      </c>
      <c r="C53">
        <v>4560098</v>
      </c>
      <c r="D53" t="s">
        <v>820</v>
      </c>
      <c r="E53" s="352">
        <v>73100493.659999982</v>
      </c>
      <c r="F53" s="352"/>
      <c r="G53" s="352"/>
      <c r="H53" s="33">
        <f t="shared" si="9"/>
        <v>0</v>
      </c>
      <c r="I53" s="352">
        <v>18175731.25</v>
      </c>
      <c r="J53" s="333" t="s">
        <v>126</v>
      </c>
      <c r="K53" s="8">
        <f t="shared" si="7"/>
        <v>610</v>
      </c>
    </row>
    <row r="54" spans="1:11">
      <c r="A54" s="8">
        <f t="shared" si="8"/>
        <v>611</v>
      </c>
      <c r="B54" s="30">
        <v>456</v>
      </c>
      <c r="C54">
        <v>4560000</v>
      </c>
      <c r="D54" t="s">
        <v>819</v>
      </c>
      <c r="E54" s="352">
        <v>-36899725.649999999</v>
      </c>
      <c r="F54" s="352"/>
      <c r="G54" s="352"/>
      <c r="H54" s="33">
        <f t="shared" si="9"/>
        <v>0</v>
      </c>
      <c r="I54" s="352"/>
      <c r="J54" s="333" t="s">
        <v>126</v>
      </c>
      <c r="K54" s="8">
        <f t="shared" si="7"/>
        <v>611</v>
      </c>
    </row>
    <row r="55" spans="1:11">
      <c r="A55" s="8">
        <f t="shared" si="8"/>
        <v>612</v>
      </c>
      <c r="B55" s="30">
        <v>456</v>
      </c>
      <c r="C55">
        <v>4560001</v>
      </c>
      <c r="D55" t="s">
        <v>818</v>
      </c>
      <c r="E55" s="352">
        <v>55039838.450000063</v>
      </c>
      <c r="F55" s="352">
        <v>1239359.856407986</v>
      </c>
      <c r="G55" s="352">
        <v>2377159.4435920138</v>
      </c>
      <c r="H55" s="33">
        <f t="shared" si="9"/>
        <v>3616519.3</v>
      </c>
      <c r="I55" s="352"/>
      <c r="J55" s="333" t="s">
        <v>817</v>
      </c>
      <c r="K55" s="8">
        <f t="shared" si="7"/>
        <v>612</v>
      </c>
    </row>
    <row r="56" spans="1:11">
      <c r="A56" s="8">
        <f t="shared" si="8"/>
        <v>613</v>
      </c>
      <c r="B56" s="30">
        <v>456</v>
      </c>
      <c r="C56">
        <v>4560002</v>
      </c>
      <c r="D56" t="s">
        <v>816</v>
      </c>
      <c r="E56" s="352">
        <v>25571</v>
      </c>
      <c r="F56" s="352"/>
      <c r="G56" s="352"/>
      <c r="H56" s="33">
        <f t="shared" si="9"/>
        <v>0</v>
      </c>
      <c r="I56" s="352"/>
      <c r="J56" s="333" t="s">
        <v>126</v>
      </c>
      <c r="K56" s="8">
        <f t="shared" si="7"/>
        <v>613</v>
      </c>
    </row>
    <row r="57" spans="1:11">
      <c r="A57" s="8">
        <f t="shared" si="8"/>
        <v>614</v>
      </c>
      <c r="B57" s="30">
        <v>456</v>
      </c>
      <c r="C57">
        <v>4560003</v>
      </c>
      <c r="D57" t="s">
        <v>815</v>
      </c>
      <c r="E57" s="352">
        <v>15398611.389999999</v>
      </c>
      <c r="F57" s="352"/>
      <c r="G57" s="352"/>
      <c r="H57" s="33">
        <f t="shared" si="9"/>
        <v>0</v>
      </c>
      <c r="I57" s="352"/>
      <c r="J57" s="333" t="s">
        <v>126</v>
      </c>
      <c r="K57" s="8">
        <f t="shared" si="7"/>
        <v>614</v>
      </c>
    </row>
    <row r="58" spans="1:11">
      <c r="A58" s="8">
        <f t="shared" si="8"/>
        <v>615</v>
      </c>
      <c r="B58" s="30">
        <v>456</v>
      </c>
      <c r="C58">
        <v>4560095</v>
      </c>
      <c r="D58" t="s">
        <v>814</v>
      </c>
      <c r="E58" s="352">
        <v>-475288924.18000001</v>
      </c>
      <c r="F58" s="352"/>
      <c r="G58" s="352"/>
      <c r="H58" s="33">
        <f t="shared" si="9"/>
        <v>0</v>
      </c>
      <c r="I58" s="352"/>
      <c r="J58" s="333" t="s">
        <v>126</v>
      </c>
      <c r="K58" s="8">
        <f t="shared" si="7"/>
        <v>615</v>
      </c>
    </row>
    <row r="59" spans="1:11">
      <c r="A59" s="8">
        <f t="shared" si="8"/>
        <v>616</v>
      </c>
      <c r="B59" s="30">
        <v>456</v>
      </c>
      <c r="C59">
        <v>4560005</v>
      </c>
      <c r="D59" t="s">
        <v>813</v>
      </c>
      <c r="E59" s="352">
        <v>-101028934.11</v>
      </c>
      <c r="F59" s="352"/>
      <c r="G59" s="352"/>
      <c r="H59" s="33">
        <f t="shared" si="9"/>
        <v>0</v>
      </c>
      <c r="I59" s="352"/>
      <c r="J59" s="333" t="s">
        <v>126</v>
      </c>
      <c r="K59" s="8">
        <f t="shared" si="7"/>
        <v>616</v>
      </c>
    </row>
    <row r="60" spans="1:11">
      <c r="A60" s="8">
        <f t="shared" si="8"/>
        <v>617</v>
      </c>
      <c r="B60" s="30">
        <v>456</v>
      </c>
      <c r="C60">
        <v>9414000</v>
      </c>
      <c r="D60" t="s">
        <v>812</v>
      </c>
      <c r="E60" s="352"/>
      <c r="F60" s="352"/>
      <c r="G60" s="352"/>
      <c r="H60" s="33">
        <f t="shared" si="9"/>
        <v>0</v>
      </c>
      <c r="I60" s="352"/>
      <c r="J60" s="333" t="s">
        <v>126</v>
      </c>
      <c r="K60" s="8">
        <f t="shared" si="7"/>
        <v>617</v>
      </c>
    </row>
    <row r="61" spans="1:11">
      <c r="A61" s="8">
        <f t="shared" si="8"/>
        <v>618</v>
      </c>
      <c r="B61" s="30">
        <v>456.1</v>
      </c>
      <c r="C61">
        <v>4561000</v>
      </c>
      <c r="D61" t="s">
        <v>811</v>
      </c>
      <c r="E61" s="352">
        <v>4566310.1399999997</v>
      </c>
      <c r="F61" s="352">
        <v>4566310.1399999997</v>
      </c>
      <c r="G61" s="352"/>
      <c r="H61" s="33">
        <f t="shared" si="9"/>
        <v>4566310.1399999997</v>
      </c>
      <c r="I61" s="352"/>
      <c r="J61" s="333" t="s">
        <v>810</v>
      </c>
      <c r="K61" s="8">
        <f t="shared" si="7"/>
        <v>618</v>
      </c>
    </row>
    <row r="62" spans="1:11">
      <c r="A62" s="8">
        <f t="shared" si="8"/>
        <v>619</v>
      </c>
      <c r="B62" s="789">
        <v>456</v>
      </c>
      <c r="C62" s="790">
        <v>4560052</v>
      </c>
      <c r="D62" s="790" t="s">
        <v>828</v>
      </c>
      <c r="E62" s="352">
        <v>37673753.390000001</v>
      </c>
      <c r="F62" s="352"/>
      <c r="G62" s="352"/>
      <c r="H62" s="33"/>
      <c r="I62" s="352">
        <v>34493789.380000003</v>
      </c>
      <c r="J62" s="333"/>
      <c r="K62" s="8">
        <f t="shared" si="7"/>
        <v>619</v>
      </c>
    </row>
    <row r="63" spans="1:11">
      <c r="A63" s="8">
        <f t="shared" si="8"/>
        <v>620</v>
      </c>
      <c r="B63" s="351" t="s">
        <v>1404</v>
      </c>
      <c r="C63" s="49"/>
      <c r="D63" s="49"/>
      <c r="E63" s="352"/>
      <c r="F63" s="352"/>
      <c r="G63" s="352"/>
      <c r="H63" s="33"/>
      <c r="I63" s="352"/>
      <c r="J63" s="333"/>
      <c r="K63" s="8">
        <f t="shared" si="7"/>
        <v>620</v>
      </c>
    </row>
    <row r="65" spans="1:11">
      <c r="A65" s="8"/>
      <c r="B65" s="16" t="s">
        <v>127</v>
      </c>
      <c r="E65" s="333"/>
      <c r="K65" s="8"/>
    </row>
    <row r="66" spans="1:11">
      <c r="A66" s="8"/>
      <c r="B66" t="s">
        <v>809</v>
      </c>
      <c r="K66" s="8"/>
    </row>
    <row r="67" spans="1:11">
      <c r="A67" s="8"/>
      <c r="B67" t="s">
        <v>1447</v>
      </c>
      <c r="K67" s="8"/>
    </row>
    <row r="68" spans="1:11">
      <c r="B68" t="s">
        <v>1450</v>
      </c>
    </row>
    <row r="69" spans="1:11">
      <c r="B69" t="s">
        <v>1508</v>
      </c>
    </row>
    <row r="70" spans="1:11">
      <c r="B70" s="17" t="s">
        <v>2055</v>
      </c>
    </row>
  </sheetData>
  <printOptions horizontalCentered="1"/>
  <pageMargins left="1" right="1" top="1" bottom="1" header="0.5" footer="0.5"/>
  <pageSetup scale="5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44"/>
  <sheetViews>
    <sheetView tabSelected="1" view="pageBreakPreview" zoomScale="55" zoomScaleSheetLayoutView="55" workbookViewId="0">
      <selection activeCell="P108" sqref="P108"/>
    </sheetView>
  </sheetViews>
  <sheetFormatPr defaultColWidth="9.1796875" defaultRowHeight="14.5"/>
  <cols>
    <col min="1" max="1" width="5.1796875" bestFit="1" customWidth="1"/>
    <col min="2" max="2" width="72.54296875" customWidth="1"/>
    <col min="3" max="3" width="13.453125" bestFit="1" customWidth="1"/>
    <col min="4" max="4" width="14.26953125" customWidth="1"/>
    <col min="5" max="5" width="15.453125" customWidth="1"/>
    <col min="6" max="6" width="16.54296875" customWidth="1"/>
    <col min="7" max="7" width="4.7265625" bestFit="1" customWidth="1"/>
  </cols>
  <sheetData>
    <row r="1" spans="1:7">
      <c r="B1" s="12" t="s">
        <v>878</v>
      </c>
      <c r="C1" s="15"/>
      <c r="F1" s="15" t="str">
        <f>CONCATENATE("Prior Year: ",'1-BaseTRR'!$F$2)</f>
        <v>Prior Year: 2022</v>
      </c>
    </row>
    <row r="2" spans="1:7">
      <c r="B2" s="117" t="s">
        <v>196</v>
      </c>
      <c r="C2" s="15"/>
      <c r="D2" s="15"/>
      <c r="E2" s="15"/>
      <c r="F2" s="15"/>
    </row>
    <row r="3" spans="1:7">
      <c r="B3" s="142"/>
    </row>
    <row r="4" spans="1:7">
      <c r="A4" s="13"/>
      <c r="B4" s="358" t="s">
        <v>1155</v>
      </c>
      <c r="C4" s="354"/>
      <c r="D4" s="354"/>
      <c r="E4" s="354"/>
      <c r="F4" s="354"/>
      <c r="G4" s="13"/>
    </row>
    <row r="5" spans="1:7">
      <c r="A5" s="13" t="s">
        <v>124</v>
      </c>
      <c r="B5" s="13" t="s">
        <v>129</v>
      </c>
      <c r="C5" s="13" t="s">
        <v>80</v>
      </c>
      <c r="D5" s="13" t="s">
        <v>54</v>
      </c>
      <c r="E5" s="13"/>
      <c r="F5" s="13"/>
      <c r="G5" s="13" t="str">
        <f>A5</f>
        <v>Line</v>
      </c>
    </row>
    <row r="6" spans="1:7">
      <c r="A6" s="8">
        <v>100</v>
      </c>
      <c r="B6" t="s">
        <v>1151</v>
      </c>
      <c r="C6" s="22">
        <f>'20-RevenueCredits'!I10</f>
        <v>67852564.349999994</v>
      </c>
      <c r="D6" s="6" t="s">
        <v>1377</v>
      </c>
      <c r="G6" s="8">
        <f>A6</f>
        <v>100</v>
      </c>
    </row>
    <row r="7" spans="1:7">
      <c r="A7" s="8"/>
      <c r="C7" s="33"/>
      <c r="G7" s="8"/>
    </row>
    <row r="8" spans="1:7">
      <c r="A8" s="8">
        <f>A6+1</f>
        <v>101</v>
      </c>
      <c r="B8" t="s">
        <v>1152</v>
      </c>
      <c r="C8" s="51">
        <v>19545613.289999999</v>
      </c>
      <c r="D8" s="564" t="s">
        <v>1960</v>
      </c>
      <c r="E8" s="564"/>
      <c r="F8" s="564"/>
      <c r="G8" s="8">
        <f>A8</f>
        <v>101</v>
      </c>
    </row>
    <row r="9" spans="1:7">
      <c r="A9" s="8">
        <f>A8+1</f>
        <v>102</v>
      </c>
      <c r="B9" t="s">
        <v>1153</v>
      </c>
      <c r="C9" s="48">
        <v>868474.05763331149</v>
      </c>
      <c r="D9" s="564" t="s">
        <v>1961</v>
      </c>
      <c r="E9" s="564"/>
      <c r="F9" s="564"/>
      <c r="G9" s="8">
        <f>A9</f>
        <v>102</v>
      </c>
    </row>
    <row r="10" spans="1:7">
      <c r="A10" s="8">
        <f>A9+1</f>
        <v>103</v>
      </c>
      <c r="B10" s="12" t="s">
        <v>1154</v>
      </c>
      <c r="C10" s="24">
        <f>C8+C9</f>
        <v>20414087.34763331</v>
      </c>
      <c r="D10" t="str">
        <f>"Line "&amp;A8&amp;" + Line "&amp;A9&amp;""</f>
        <v>Line 101 + Line 102</v>
      </c>
      <c r="G10" s="8">
        <f>A10</f>
        <v>103</v>
      </c>
    </row>
    <row r="11" spans="1:7">
      <c r="A11" s="8"/>
      <c r="C11" s="112"/>
      <c r="G11" s="8"/>
    </row>
    <row r="12" spans="1:7">
      <c r="A12" s="8"/>
      <c r="B12" s="358" t="s">
        <v>1150</v>
      </c>
      <c r="C12" s="354"/>
      <c r="D12" s="354"/>
      <c r="E12" s="354"/>
      <c r="F12" s="354"/>
      <c r="G12" s="13"/>
    </row>
    <row r="13" spans="1:7">
      <c r="A13" s="8"/>
      <c r="B13" s="357"/>
      <c r="C13" s="13" t="s">
        <v>100</v>
      </c>
      <c r="D13" s="13" t="s">
        <v>101</v>
      </c>
      <c r="E13" s="13" t="s">
        <v>102</v>
      </c>
      <c r="F13" s="13" t="s">
        <v>103</v>
      </c>
      <c r="G13" s="13"/>
    </row>
    <row r="14" spans="1:7">
      <c r="A14" s="8"/>
      <c r="B14" s="357"/>
      <c r="C14" s="30" t="s">
        <v>125</v>
      </c>
      <c r="D14" s="30" t="s">
        <v>126</v>
      </c>
      <c r="E14" s="30" t="s">
        <v>877</v>
      </c>
      <c r="F14" s="30" t="s">
        <v>169</v>
      </c>
      <c r="G14" s="13"/>
    </row>
    <row r="15" spans="1:7">
      <c r="A15" s="8"/>
      <c r="B15" s="357"/>
      <c r="C15" s="13"/>
      <c r="D15" s="13"/>
      <c r="E15" s="13"/>
      <c r="F15" s="8" t="s">
        <v>876</v>
      </c>
      <c r="G15" s="13"/>
    </row>
    <row r="16" spans="1:7">
      <c r="A16" s="13" t="s">
        <v>124</v>
      </c>
      <c r="B16" s="13" t="s">
        <v>875</v>
      </c>
      <c r="C16" s="13" t="s">
        <v>194</v>
      </c>
      <c r="D16" s="13" t="s">
        <v>874</v>
      </c>
      <c r="E16" s="13" t="s">
        <v>873</v>
      </c>
      <c r="F16" s="13" t="s">
        <v>873</v>
      </c>
      <c r="G16" s="13" t="s">
        <v>124</v>
      </c>
    </row>
    <row r="17" spans="1:7">
      <c r="A17" s="8">
        <v>200</v>
      </c>
      <c r="B17" s="14" t="s">
        <v>361</v>
      </c>
      <c r="C17" s="555">
        <f>SUM(C18:C23)</f>
        <v>67852564.349999994</v>
      </c>
      <c r="D17" s="555">
        <f t="shared" ref="D17:F17" si="0">SUM(D18:D23)</f>
        <v>20414087.34763331</v>
      </c>
      <c r="E17" s="555">
        <f t="shared" si="0"/>
        <v>47438477.002366692</v>
      </c>
      <c r="F17" s="555">
        <f t="shared" si="0"/>
        <v>47438477.002366692</v>
      </c>
      <c r="G17" s="8">
        <f t="shared" ref="G17:G24" si="1">A17</f>
        <v>200</v>
      </c>
    </row>
    <row r="18" spans="1:7">
      <c r="A18" s="8">
        <f>A17+1</f>
        <v>201</v>
      </c>
      <c r="B18" t="s">
        <v>872</v>
      </c>
      <c r="C18" s="51">
        <v>9918510.2799999993</v>
      </c>
      <c r="D18" s="51">
        <v>1530850.2474741153</v>
      </c>
      <c r="E18" s="32">
        <f t="shared" ref="E18:E23" si="2">C18-D18</f>
        <v>8387660.032525884</v>
      </c>
      <c r="F18" s="32">
        <f t="shared" ref="F18:F23" si="3">IF(E18&gt;0,E18,0)</f>
        <v>8387660.032525884</v>
      </c>
      <c r="G18" s="8">
        <f t="shared" si="1"/>
        <v>201</v>
      </c>
    </row>
    <row r="19" spans="1:7">
      <c r="A19" s="8">
        <f>A18+1</f>
        <v>202</v>
      </c>
      <c r="B19" t="s">
        <v>871</v>
      </c>
      <c r="C19" s="51">
        <v>20815901.16</v>
      </c>
      <c r="D19" s="51">
        <v>16726987.372155663</v>
      </c>
      <c r="E19" s="32">
        <f t="shared" si="2"/>
        <v>4088913.7878443375</v>
      </c>
      <c r="F19" s="32">
        <f t="shared" si="3"/>
        <v>4088913.7878443375</v>
      </c>
      <c r="G19" s="8">
        <f t="shared" si="1"/>
        <v>202</v>
      </c>
    </row>
    <row r="20" spans="1:7">
      <c r="A20" s="8">
        <f>A19+1</f>
        <v>203</v>
      </c>
      <c r="B20" t="s">
        <v>870</v>
      </c>
      <c r="C20" s="51">
        <v>0</v>
      </c>
      <c r="D20" s="51">
        <v>0</v>
      </c>
      <c r="E20" s="32">
        <f t="shared" si="2"/>
        <v>0</v>
      </c>
      <c r="F20" s="32">
        <f t="shared" si="3"/>
        <v>0</v>
      </c>
      <c r="G20" s="8">
        <f t="shared" si="1"/>
        <v>203</v>
      </c>
    </row>
    <row r="21" spans="1:7">
      <c r="A21" s="8">
        <f>A20+1</f>
        <v>204</v>
      </c>
      <c r="B21" t="s">
        <v>869</v>
      </c>
      <c r="C21" s="51">
        <v>0</v>
      </c>
      <c r="D21" s="51">
        <v>0</v>
      </c>
      <c r="E21" s="32">
        <f t="shared" si="2"/>
        <v>0</v>
      </c>
      <c r="F21" s="32">
        <f t="shared" si="3"/>
        <v>0</v>
      </c>
      <c r="G21" s="8">
        <f t="shared" si="1"/>
        <v>204</v>
      </c>
    </row>
    <row r="22" spans="1:7">
      <c r="A22" s="8">
        <f>A21+1</f>
        <v>205</v>
      </c>
      <c r="B22" t="s">
        <v>868</v>
      </c>
      <c r="C22" s="51">
        <v>2624363.5299999998</v>
      </c>
      <c r="D22" s="51">
        <v>2156249.7280035331</v>
      </c>
      <c r="E22" s="32">
        <f t="shared" si="2"/>
        <v>468113.8019964667</v>
      </c>
      <c r="F22" s="32">
        <f t="shared" si="3"/>
        <v>468113.8019964667</v>
      </c>
      <c r="G22" s="8">
        <f t="shared" si="1"/>
        <v>205</v>
      </c>
    </row>
    <row r="23" spans="1:7">
      <c r="A23" s="8">
        <f t="shared" ref="A23:A24" si="4">A22+1</f>
        <v>206</v>
      </c>
      <c r="B23" s="356" t="s">
        <v>1962</v>
      </c>
      <c r="C23" s="51">
        <v>34493789.380000003</v>
      </c>
      <c r="D23" s="51">
        <v>0</v>
      </c>
      <c r="E23" s="32">
        <f t="shared" si="2"/>
        <v>34493789.380000003</v>
      </c>
      <c r="F23" s="32">
        <f t="shared" si="3"/>
        <v>34493789.380000003</v>
      </c>
      <c r="G23" s="8">
        <f t="shared" si="1"/>
        <v>206</v>
      </c>
    </row>
    <row r="24" spans="1:7">
      <c r="A24" s="8">
        <f t="shared" si="4"/>
        <v>207</v>
      </c>
      <c r="B24" s="356" t="s">
        <v>640</v>
      </c>
      <c r="C24" s="499"/>
      <c r="D24" s="499"/>
      <c r="E24" s="500"/>
      <c r="F24" s="485"/>
      <c r="G24" s="8">
        <f t="shared" si="1"/>
        <v>207</v>
      </c>
    </row>
    <row r="25" spans="1:7">
      <c r="A25" s="8"/>
      <c r="B25" s="13"/>
      <c r="C25" s="13"/>
      <c r="D25" s="13"/>
      <c r="E25" s="13"/>
      <c r="F25" s="13"/>
      <c r="G25" s="13"/>
    </row>
    <row r="26" spans="1:7">
      <c r="A26" s="8"/>
      <c r="B26" s="355" t="s">
        <v>867</v>
      </c>
      <c r="C26" s="54"/>
      <c r="D26" s="54"/>
      <c r="E26" s="54"/>
      <c r="F26" s="54"/>
      <c r="G26" s="30"/>
    </row>
    <row r="27" spans="1:7">
      <c r="A27" s="13" t="s">
        <v>124</v>
      </c>
      <c r="B27" s="13" t="s">
        <v>129</v>
      </c>
      <c r="C27" s="13" t="s">
        <v>80</v>
      </c>
      <c r="D27" s="13" t="s">
        <v>54</v>
      </c>
      <c r="E27" s="13"/>
      <c r="F27" s="13"/>
      <c r="G27" s="13" t="str">
        <f t="shared" ref="G27:G32" si="5">A27</f>
        <v>Line</v>
      </c>
    </row>
    <row r="28" spans="1:7">
      <c r="A28" s="8">
        <v>300</v>
      </c>
      <c r="B28" t="s">
        <v>866</v>
      </c>
      <c r="C28" s="32">
        <f>F17</f>
        <v>47438477.002366692</v>
      </c>
      <c r="D28" t="str">
        <f>"Line "&amp;A17&amp;", col 4"</f>
        <v>Line 200, col 4</v>
      </c>
      <c r="G28" s="8">
        <f t="shared" si="5"/>
        <v>300</v>
      </c>
    </row>
    <row r="29" spans="1:7">
      <c r="A29" s="8">
        <f>A28+1</f>
        <v>301</v>
      </c>
      <c r="B29" t="s">
        <v>865</v>
      </c>
      <c r="C29" s="28">
        <f>'1-BaseTRR'!D99</f>
        <v>0.27983599999999997</v>
      </c>
      <c r="D29" t="str">
        <f>"1-BaseTRR, L. "&amp;'1-BaseTRR'!A99&amp;""</f>
        <v>1-BaseTRR, L. 402</v>
      </c>
      <c r="G29" s="8">
        <f t="shared" si="5"/>
        <v>301</v>
      </c>
    </row>
    <row r="30" spans="1:7">
      <c r="A30" s="8">
        <f>A29+1</f>
        <v>302</v>
      </c>
      <c r="B30" t="s">
        <v>864</v>
      </c>
      <c r="C30">
        <v>1</v>
      </c>
      <c r="D30" s="21" t="s">
        <v>863</v>
      </c>
      <c r="E30" s="21"/>
      <c r="F30" s="21"/>
      <c r="G30" s="8">
        <f t="shared" si="5"/>
        <v>302</v>
      </c>
    </row>
    <row r="31" spans="1:7">
      <c r="A31" s="8">
        <f>A30+1</f>
        <v>303</v>
      </c>
      <c r="B31" t="s">
        <v>862</v>
      </c>
      <c r="C31" s="28">
        <f>1/(1+C30-C30*C29)</f>
        <v>0.58133991875193292</v>
      </c>
      <c r="D31" t="str">
        <f>"1 / [1 + Line "&amp;A30&amp;" - (Line "&amp;A30&amp;" * Line "&amp;A29&amp;")]"</f>
        <v>1 / [1 + Line 302 - (Line 302 * Line 301)]</v>
      </c>
      <c r="G31" s="8">
        <f t="shared" si="5"/>
        <v>303</v>
      </c>
    </row>
    <row r="32" spans="1:7">
      <c r="A32" s="8">
        <f>A31+1</f>
        <v>304</v>
      </c>
      <c r="B32" t="s">
        <v>861</v>
      </c>
      <c r="C32" s="28">
        <f>1-C31</f>
        <v>0.41866008124806708</v>
      </c>
      <c r="D32" t="str">
        <f>"1 - Line "&amp;A31&amp;""</f>
        <v>1 - Line 303</v>
      </c>
      <c r="G32" s="8">
        <f t="shared" si="5"/>
        <v>304</v>
      </c>
    </row>
    <row r="33" spans="1:7">
      <c r="A33" s="8"/>
      <c r="G33" s="8"/>
    </row>
    <row r="34" spans="1:7">
      <c r="A34" s="8"/>
      <c r="B34" s="355" t="s">
        <v>860</v>
      </c>
      <c r="C34" s="54"/>
      <c r="D34" s="54"/>
      <c r="E34" s="54"/>
      <c r="F34" s="54"/>
      <c r="G34" s="8"/>
    </row>
    <row r="35" spans="1:7">
      <c r="A35" s="13" t="s">
        <v>124</v>
      </c>
      <c r="B35" s="13" t="s">
        <v>129</v>
      </c>
      <c r="C35" s="13" t="s">
        <v>80</v>
      </c>
      <c r="D35" s="13" t="s">
        <v>54</v>
      </c>
      <c r="E35" s="13"/>
      <c r="F35" s="13"/>
      <c r="G35" s="13" t="str">
        <f>A35</f>
        <v>Line</v>
      </c>
    </row>
    <row r="36" spans="1:7">
      <c r="A36" s="8">
        <v>400</v>
      </c>
      <c r="B36" t="s">
        <v>859</v>
      </c>
      <c r="C36" s="32">
        <f>C31*C28</f>
        <v>27577880.366271291</v>
      </c>
      <c r="D36" t="str">
        <f>"Line "&amp;A28&amp;" * Line "&amp;A31&amp;""</f>
        <v>Line 300 * Line 303</v>
      </c>
      <c r="G36" s="8">
        <f>A36</f>
        <v>400</v>
      </c>
    </row>
    <row r="37" spans="1:7">
      <c r="A37" s="8">
        <f>A36+1</f>
        <v>401</v>
      </c>
      <c r="B37" t="s">
        <v>858</v>
      </c>
      <c r="C37" s="32">
        <f>C36*C29</f>
        <v>7717283.7301758919</v>
      </c>
      <c r="D37" t="str">
        <f>"Line "&amp;A36&amp;" * Line "&amp;A29&amp;""</f>
        <v>Line 400 * Line 301</v>
      </c>
      <c r="G37" s="8">
        <f>A37</f>
        <v>401</v>
      </c>
    </row>
    <row r="38" spans="1:7">
      <c r="A38" s="8">
        <f>A37+1</f>
        <v>402</v>
      </c>
      <c r="B38" t="s">
        <v>857</v>
      </c>
      <c r="C38" s="32">
        <f>C36-C37</f>
        <v>19860596.636095397</v>
      </c>
      <c r="D38" t="str">
        <f>"Line "&amp;A36&amp;" - Line "&amp;A37&amp;""</f>
        <v>Line 400 - Line 401</v>
      </c>
      <c r="G38" s="8">
        <f>A38</f>
        <v>402</v>
      </c>
    </row>
    <row r="39" spans="1:7">
      <c r="A39" s="8">
        <f>A38+1</f>
        <v>403</v>
      </c>
      <c r="B39" t="s">
        <v>856</v>
      </c>
      <c r="C39" s="32">
        <f>C32*C28</f>
        <v>19860596.636095401</v>
      </c>
      <c r="D39" t="str">
        <f>"Line "&amp;A32&amp;" * Line "&amp;A28&amp;""</f>
        <v>Line 304 * Line 300</v>
      </c>
      <c r="G39" s="8">
        <f>A39</f>
        <v>403</v>
      </c>
    </row>
    <row r="41" spans="1:7">
      <c r="B41" s="16" t="s">
        <v>127</v>
      </c>
    </row>
    <row r="42" spans="1:7">
      <c r="B42" t="s">
        <v>1282</v>
      </c>
    </row>
    <row r="43" spans="1:7">
      <c r="B43" t="s">
        <v>1283</v>
      </c>
    </row>
    <row r="44" spans="1:7">
      <c r="B44" t="s">
        <v>855</v>
      </c>
    </row>
  </sheetData>
  <printOptions horizontalCentered="1"/>
  <pageMargins left="1" right="1" top="1" bottom="1" header="0.5" footer="0.5"/>
  <pageSetup scale="8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
  <sheetViews>
    <sheetView view="pageBreakPreview" zoomScale="60" workbookViewId="0">
      <selection activeCell="G62" sqref="A60:P75"/>
    </sheetView>
  </sheetViews>
  <sheetFormatPr defaultRowHeight="14.5"/>
  <cols>
    <col min="1" max="1" width="19.7265625" customWidth="1"/>
    <col min="2" max="2" width="26.453125" bestFit="1" customWidth="1"/>
    <col min="3" max="3" width="28.54296875" bestFit="1" customWidth="1"/>
    <col min="4" max="4" width="97.26953125" bestFit="1" customWidth="1"/>
    <col min="5" max="9" width="9.1796875" customWidth="1"/>
  </cols>
  <sheetData>
    <row r="1" spans="1:9">
      <c r="A1" s="12" t="s">
        <v>1251</v>
      </c>
    </row>
    <row r="3" spans="1:9">
      <c r="A3" s="12" t="s">
        <v>1208</v>
      </c>
    </row>
    <row r="4" spans="1:9">
      <c r="A4" s="811" t="s">
        <v>1250</v>
      </c>
      <c r="B4" s="811"/>
      <c r="C4" s="811"/>
      <c r="D4" s="811"/>
      <c r="E4" s="44"/>
      <c r="F4" s="44"/>
      <c r="G4" s="44"/>
      <c r="H4" s="44"/>
      <c r="I4" s="44"/>
    </row>
    <row r="6" spans="1:9">
      <c r="A6" s="12" t="s">
        <v>1207</v>
      </c>
    </row>
    <row r="7" spans="1:9">
      <c r="A7" s="811" t="s">
        <v>1216</v>
      </c>
      <c r="B7" s="811"/>
      <c r="C7" s="811"/>
      <c r="D7" s="811"/>
      <c r="E7" s="44"/>
      <c r="F7" s="44"/>
      <c r="G7" s="44"/>
      <c r="H7" s="44"/>
      <c r="I7" s="44"/>
    </row>
    <row r="9" spans="1:9">
      <c r="A9" s="12" t="s">
        <v>1209</v>
      </c>
    </row>
    <row r="10" spans="1:9" ht="29.25" customHeight="1">
      <c r="A10" s="811" t="s">
        <v>1210</v>
      </c>
      <c r="B10" s="811"/>
      <c r="C10" s="811"/>
      <c r="D10" s="811"/>
      <c r="E10" s="44"/>
      <c r="F10" s="44"/>
      <c r="G10" s="44"/>
      <c r="H10" s="44"/>
      <c r="I10" s="44"/>
    </row>
    <row r="12" spans="1:9">
      <c r="A12" s="12" t="s">
        <v>1211</v>
      </c>
    </row>
    <row r="13" spans="1:9" ht="45.75" customHeight="1">
      <c r="A13" s="811" t="s">
        <v>1212</v>
      </c>
      <c r="B13" s="811"/>
      <c r="C13" s="811"/>
      <c r="D13" s="811"/>
      <c r="E13" s="44"/>
      <c r="F13" s="44"/>
      <c r="G13" s="44"/>
      <c r="H13" s="44"/>
      <c r="I13" s="44"/>
    </row>
    <row r="15" spans="1:9">
      <c r="A15" s="12" t="s">
        <v>1213</v>
      </c>
    </row>
    <row r="16" spans="1:9" ht="30" customHeight="1">
      <c r="A16" s="811" t="s">
        <v>1214</v>
      </c>
      <c r="B16" s="811"/>
      <c r="C16" s="811"/>
      <c r="D16" s="811"/>
      <c r="E16" s="44"/>
      <c r="F16" s="44"/>
      <c r="G16" s="44"/>
      <c r="H16" s="44"/>
      <c r="I16" s="44"/>
    </row>
    <row r="17" spans="1:9">
      <c r="A17" s="7"/>
      <c r="B17" s="7"/>
      <c r="C17" s="7"/>
      <c r="D17" s="7"/>
      <c r="E17" s="7"/>
      <c r="F17" s="7"/>
      <c r="G17" s="7"/>
      <c r="H17" s="7"/>
      <c r="I17" s="7"/>
    </row>
    <row r="18" spans="1:9" ht="30.75" customHeight="1">
      <c r="A18" s="811" t="s">
        <v>1215</v>
      </c>
      <c r="B18" s="811"/>
      <c r="C18" s="811"/>
      <c r="D18" s="811"/>
      <c r="E18" s="44"/>
      <c r="F18" s="44"/>
      <c r="G18" s="44"/>
      <c r="H18" s="44"/>
      <c r="I18" s="44"/>
    </row>
    <row r="20" spans="1:9">
      <c r="A20" s="12" t="s">
        <v>1252</v>
      </c>
    </row>
    <row r="21" spans="1:9">
      <c r="A21" s="417" t="s">
        <v>1217</v>
      </c>
      <c r="B21" s="417" t="s">
        <v>1218</v>
      </c>
      <c r="C21" s="417" t="s">
        <v>1219</v>
      </c>
      <c r="D21" s="417" t="s">
        <v>1220</v>
      </c>
    </row>
    <row r="22" spans="1:9">
      <c r="A22" s="420" t="s">
        <v>1139</v>
      </c>
      <c r="B22" s="420" t="s">
        <v>1221</v>
      </c>
      <c r="C22" s="420" t="s">
        <v>1222</v>
      </c>
      <c r="D22" s="420"/>
    </row>
    <row r="23" spans="1:9">
      <c r="A23" s="419"/>
      <c r="B23" s="419"/>
      <c r="C23" s="419"/>
      <c r="D23" s="419"/>
    </row>
    <row r="24" spans="1:9">
      <c r="A24" s="420" t="s">
        <v>1223</v>
      </c>
      <c r="B24" s="420" t="s">
        <v>1224</v>
      </c>
      <c r="C24" s="420" t="s">
        <v>1225</v>
      </c>
      <c r="D24" s="420"/>
    </row>
    <row r="25" spans="1:9">
      <c r="A25" s="419"/>
      <c r="B25" s="419"/>
      <c r="C25" s="419" t="s">
        <v>1226</v>
      </c>
      <c r="D25" s="419"/>
    </row>
    <row r="26" spans="1:9">
      <c r="A26" s="420" t="s">
        <v>124</v>
      </c>
      <c r="B26" s="420" t="s">
        <v>1228</v>
      </c>
      <c r="C26" s="420" t="s">
        <v>1229</v>
      </c>
      <c r="D26" s="420" t="s">
        <v>1230</v>
      </c>
    </row>
    <row r="27" spans="1:9">
      <c r="A27" s="419" t="s">
        <v>1227</v>
      </c>
      <c r="B27" s="419"/>
      <c r="C27" s="419"/>
      <c r="D27" s="419"/>
    </row>
    <row r="28" spans="1:9">
      <c r="A28" s="420" t="s">
        <v>124</v>
      </c>
      <c r="B28" s="420" t="s">
        <v>1232</v>
      </c>
      <c r="C28" s="420" t="s">
        <v>1233</v>
      </c>
      <c r="D28" s="420" t="s">
        <v>1234</v>
      </c>
    </row>
    <row r="29" spans="1:9">
      <c r="A29" s="419" t="s">
        <v>1231</v>
      </c>
      <c r="B29" s="419"/>
      <c r="C29" s="419"/>
      <c r="D29" s="419"/>
    </row>
    <row r="30" spans="1:9">
      <c r="A30" s="420" t="s">
        <v>1235</v>
      </c>
      <c r="B30" s="420" t="s">
        <v>1236</v>
      </c>
      <c r="C30" s="420" t="s">
        <v>125</v>
      </c>
      <c r="D30" s="420"/>
    </row>
    <row r="31" spans="1:9">
      <c r="A31" s="418"/>
      <c r="B31" s="418"/>
      <c r="C31" s="418" t="s">
        <v>1237</v>
      </c>
      <c r="D31" s="418"/>
    </row>
    <row r="32" spans="1:9">
      <c r="A32" s="419"/>
      <c r="B32" s="419"/>
      <c r="C32" s="419" t="s">
        <v>1238</v>
      </c>
      <c r="D32" s="419"/>
    </row>
    <row r="33" spans="1:4">
      <c r="A33" s="420" t="s">
        <v>1239</v>
      </c>
      <c r="B33" s="420" t="s">
        <v>1240</v>
      </c>
      <c r="C33" s="420" t="s">
        <v>1241</v>
      </c>
      <c r="D33" s="420" t="s">
        <v>1243</v>
      </c>
    </row>
    <row r="34" spans="1:4">
      <c r="A34" s="419"/>
      <c r="B34" s="419"/>
      <c r="C34" s="419" t="s">
        <v>1242</v>
      </c>
      <c r="D34" s="419"/>
    </row>
    <row r="35" spans="1:4">
      <c r="A35" s="420" t="s">
        <v>1174</v>
      </c>
      <c r="B35" s="420" t="s">
        <v>1244</v>
      </c>
      <c r="C35" s="420" t="s">
        <v>1188</v>
      </c>
      <c r="D35" s="420" t="s">
        <v>1245</v>
      </c>
    </row>
    <row r="36" spans="1:4">
      <c r="A36" s="419"/>
      <c r="B36" s="419"/>
      <c r="C36" s="419"/>
      <c r="D36" s="419"/>
    </row>
    <row r="37" spans="1:4">
      <c r="A37" s="420" t="s">
        <v>1246</v>
      </c>
      <c r="B37" s="420" t="s">
        <v>1247</v>
      </c>
      <c r="C37" s="420" t="s">
        <v>1248</v>
      </c>
      <c r="D37" s="420" t="s">
        <v>1249</v>
      </c>
    </row>
    <row r="38" spans="1:4">
      <c r="A38" s="418"/>
      <c r="B38" s="418"/>
      <c r="C38" s="418"/>
      <c r="D38" s="418"/>
    </row>
    <row r="39" spans="1:4">
      <c r="A39" s="418"/>
      <c r="B39" s="418"/>
      <c r="C39" s="418" t="s">
        <v>1384</v>
      </c>
      <c r="D39" s="418"/>
    </row>
    <row r="40" spans="1:4">
      <c r="A40" s="419"/>
      <c r="B40" s="419"/>
      <c r="C40" s="419"/>
      <c r="D40" s="419"/>
    </row>
    <row r="41" spans="1:4">
      <c r="A41" s="420" t="s">
        <v>1380</v>
      </c>
      <c r="B41" s="516" t="s">
        <v>640</v>
      </c>
      <c r="C41" s="517" t="s">
        <v>640</v>
      </c>
      <c r="D41" s="809" t="s">
        <v>1572</v>
      </c>
    </row>
    <row r="42" spans="1:4">
      <c r="A42" s="419"/>
      <c r="B42" s="234"/>
      <c r="C42" s="419"/>
      <c r="D42" s="810"/>
    </row>
  </sheetData>
  <mergeCells count="7">
    <mergeCell ref="D41:D42"/>
    <mergeCell ref="A16:D16"/>
    <mergeCell ref="A18:D18"/>
    <mergeCell ref="A4:D4"/>
    <mergeCell ref="A7:D7"/>
    <mergeCell ref="A10:D10"/>
    <mergeCell ref="A13:D13"/>
  </mergeCells>
  <printOptions horizontalCentered="1"/>
  <pageMargins left="1" right="1" top="1" bottom="1" header="0.5" footer="0.5"/>
  <pageSetup scale="67" fitToHeight="0"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25"/>
  <sheetViews>
    <sheetView tabSelected="1" view="pageBreakPreview" zoomScale="55" zoomScaleSheetLayoutView="55" workbookViewId="0">
      <selection activeCell="P108" sqref="P108"/>
    </sheetView>
  </sheetViews>
  <sheetFormatPr defaultColWidth="9.1796875" defaultRowHeight="14.5"/>
  <cols>
    <col min="1" max="1" width="4.7265625" bestFit="1" customWidth="1"/>
    <col min="2" max="2" width="34.81640625" bestFit="1" customWidth="1"/>
    <col min="3" max="3" width="9.453125" customWidth="1"/>
    <col min="4" max="4" width="46" customWidth="1"/>
    <col min="5" max="5" width="46.1796875" customWidth="1"/>
    <col min="6" max="6" width="4.7265625" bestFit="1" customWidth="1"/>
  </cols>
  <sheetData>
    <row r="1" spans="1:6">
      <c r="B1" s="142" t="s">
        <v>882</v>
      </c>
      <c r="D1" s="14"/>
      <c r="E1" s="15" t="str">
        <f>CONCATENATE("Prior Year: ",'1-BaseTRR'!$F$2)</f>
        <v>Prior Year: 2022</v>
      </c>
    </row>
    <row r="2" spans="1:6">
      <c r="B2" s="117" t="s">
        <v>196</v>
      </c>
      <c r="D2" s="14"/>
      <c r="E2" s="15"/>
    </row>
    <row r="3" spans="1:6">
      <c r="B3" s="142"/>
    </row>
    <row r="4" spans="1:6">
      <c r="B4" s="57" t="s">
        <v>1480</v>
      </c>
      <c r="C4" s="54"/>
      <c r="D4" s="54"/>
      <c r="E4" s="54"/>
    </row>
    <row r="5" spans="1:6">
      <c r="A5" s="13" t="s">
        <v>124</v>
      </c>
      <c r="B5" s="13" t="s">
        <v>129</v>
      </c>
      <c r="C5" s="13" t="s">
        <v>881</v>
      </c>
      <c r="D5" s="13" t="s">
        <v>301</v>
      </c>
      <c r="E5" s="13" t="s">
        <v>11</v>
      </c>
      <c r="F5" s="13" t="str">
        <f>A5</f>
        <v>Line</v>
      </c>
    </row>
    <row r="6" spans="1:6">
      <c r="A6" s="131">
        <v>100</v>
      </c>
      <c r="B6" t="s">
        <v>56</v>
      </c>
      <c r="C6" s="50">
        <v>0.21</v>
      </c>
      <c r="D6" s="6" t="s">
        <v>880</v>
      </c>
      <c r="E6" s="414"/>
      <c r="F6" s="131">
        <f>A6</f>
        <v>100</v>
      </c>
    </row>
    <row r="7" spans="1:6">
      <c r="A7" s="131">
        <f>A6+1</f>
        <v>101</v>
      </c>
      <c r="B7" t="s">
        <v>1415</v>
      </c>
      <c r="C7" s="50">
        <v>8.8400000000000006E-2</v>
      </c>
      <c r="D7" t="s">
        <v>879</v>
      </c>
      <c r="E7" s="414"/>
      <c r="F7" s="131">
        <f>A7</f>
        <v>101</v>
      </c>
    </row>
    <row r="8" spans="1:6" ht="30.75" customHeight="1">
      <c r="A8" s="131">
        <v>102</v>
      </c>
      <c r="B8" t="s">
        <v>1412</v>
      </c>
      <c r="C8" s="41">
        <f>-C6*C7</f>
        <v>-1.8564000000000001E-2</v>
      </c>
      <c r="D8" s="44" t="s">
        <v>1417</v>
      </c>
      <c r="E8" s="306" t="s">
        <v>1416</v>
      </c>
      <c r="F8" s="131">
        <v>102</v>
      </c>
    </row>
    <row r="9" spans="1:6">
      <c r="A9" s="131">
        <v>103</v>
      </c>
      <c r="B9" s="12" t="s">
        <v>1413</v>
      </c>
      <c r="C9" s="535">
        <f>SUM(C6:C8)</f>
        <v>0.27983599999999997</v>
      </c>
      <c r="D9" t="s">
        <v>1414</v>
      </c>
      <c r="F9" s="131">
        <v>103</v>
      </c>
    </row>
    <row r="10" spans="1:6">
      <c r="A10" s="131"/>
      <c r="B10" s="12"/>
      <c r="C10" s="371"/>
      <c r="F10" s="131"/>
    </row>
    <row r="11" spans="1:6">
      <c r="A11" s="131"/>
      <c r="B11" s="57" t="s">
        <v>1492</v>
      </c>
      <c r="C11" s="54"/>
      <c r="D11" s="54"/>
      <c r="E11" s="54"/>
    </row>
    <row r="12" spans="1:6">
      <c r="A12" s="13" t="s">
        <v>124</v>
      </c>
      <c r="B12" s="13" t="s">
        <v>129</v>
      </c>
      <c r="C12" s="13" t="s">
        <v>881</v>
      </c>
      <c r="D12" s="13" t="s">
        <v>301</v>
      </c>
      <c r="E12" s="13" t="s">
        <v>11</v>
      </c>
      <c r="F12" s="13" t="str">
        <f>A12</f>
        <v>Line</v>
      </c>
    </row>
    <row r="13" spans="1:6">
      <c r="A13" s="131">
        <v>200</v>
      </c>
      <c r="B13" t="s">
        <v>56</v>
      </c>
      <c r="C13" s="50">
        <v>0.21</v>
      </c>
      <c r="D13" s="6" t="s">
        <v>880</v>
      </c>
      <c r="E13" s="414"/>
      <c r="F13" s="131">
        <f>A13</f>
        <v>200</v>
      </c>
    </row>
    <row r="14" spans="1:6">
      <c r="A14" s="131">
        <f>A13+1</f>
        <v>201</v>
      </c>
      <c r="B14" t="s">
        <v>1415</v>
      </c>
      <c r="C14" s="50">
        <v>8.8400000000000006E-2</v>
      </c>
      <c r="D14" t="s">
        <v>879</v>
      </c>
      <c r="E14" s="414"/>
      <c r="F14" s="131">
        <f>A14</f>
        <v>201</v>
      </c>
    </row>
    <row r="15" spans="1:6" ht="29">
      <c r="A15" s="131">
        <f>A14+1</f>
        <v>202</v>
      </c>
      <c r="B15" t="s">
        <v>1412</v>
      </c>
      <c r="C15" s="41">
        <f>-C13*C14</f>
        <v>-1.8564000000000001E-2</v>
      </c>
      <c r="D15" s="44" t="s">
        <v>1417</v>
      </c>
      <c r="E15" s="306" t="s">
        <v>1416</v>
      </c>
      <c r="F15" s="131">
        <f>A15</f>
        <v>202</v>
      </c>
    </row>
    <row r="16" spans="1:6">
      <c r="A16" s="131">
        <f>A15+1</f>
        <v>203</v>
      </c>
      <c r="B16" s="12" t="s">
        <v>1413</v>
      </c>
      <c r="C16" s="535">
        <f>SUM(C13:C15)</f>
        <v>0.27983599999999997</v>
      </c>
      <c r="D16" t="s">
        <v>1414</v>
      </c>
      <c r="F16" s="131">
        <f>A16</f>
        <v>203</v>
      </c>
    </row>
    <row r="25" spans="4:4">
      <c r="D25" s="17"/>
    </row>
  </sheetData>
  <printOptions horizontalCentered="1"/>
  <pageMargins left="1" right="1" top="1" bottom="1" header="0.5" footer="0.5"/>
  <pageSetup scale="7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68"/>
  <sheetViews>
    <sheetView tabSelected="1" view="pageBreakPreview" topLeftCell="A17" zoomScale="55" zoomScaleNormal="85" zoomScaleSheetLayoutView="55" zoomScalePageLayoutView="70" workbookViewId="0">
      <selection activeCell="P108" sqref="P108"/>
    </sheetView>
  </sheetViews>
  <sheetFormatPr defaultColWidth="9.1796875" defaultRowHeight="14.5"/>
  <cols>
    <col min="1" max="1" width="4.54296875" bestFit="1" customWidth="1"/>
    <col min="2" max="2" width="43" customWidth="1"/>
    <col min="3" max="3" width="14.81640625" bestFit="1" customWidth="1"/>
    <col min="4" max="5" width="12.7265625" customWidth="1"/>
    <col min="6" max="6" width="40.54296875" customWidth="1"/>
    <col min="7" max="7" width="15.1796875" bestFit="1" customWidth="1"/>
    <col min="8" max="9" width="17.453125" customWidth="1"/>
    <col min="10" max="10" width="19.54296875" bestFit="1" customWidth="1"/>
    <col min="11" max="11" width="4.7265625" bestFit="1" customWidth="1"/>
  </cols>
  <sheetData>
    <row r="1" spans="1:11">
      <c r="A1" s="8"/>
      <c r="B1" s="14" t="s">
        <v>891</v>
      </c>
      <c r="E1" s="15"/>
      <c r="J1" s="15" t="str">
        <f>CONCATENATE("Prior Year: ",'1-BaseTRR'!$F$2)</f>
        <v>Prior Year: 2022</v>
      </c>
    </row>
    <row r="2" spans="1:11">
      <c r="A2" s="8"/>
      <c r="B2" s="117" t="s">
        <v>196</v>
      </c>
      <c r="E2" s="15"/>
      <c r="I2" s="15"/>
    </row>
    <row r="3" spans="1:11">
      <c r="A3" s="14"/>
    </row>
    <row r="4" spans="1:11">
      <c r="A4" s="8"/>
      <c r="B4" s="52" t="s">
        <v>890</v>
      </c>
      <c r="C4" s="53"/>
      <c r="D4" s="54"/>
      <c r="E4" s="54"/>
      <c r="F4" s="54"/>
      <c r="G4" s="54"/>
      <c r="H4" s="54"/>
      <c r="I4" s="54"/>
      <c r="J4" s="54"/>
    </row>
    <row r="5" spans="1:11">
      <c r="A5" s="8"/>
      <c r="B5" s="122" t="s">
        <v>100</v>
      </c>
      <c r="C5" s="122" t="s">
        <v>101</v>
      </c>
      <c r="D5" s="122" t="s">
        <v>102</v>
      </c>
      <c r="E5" s="122" t="s">
        <v>103</v>
      </c>
      <c r="F5" s="122" t="s">
        <v>104</v>
      </c>
      <c r="G5" s="122" t="s">
        <v>105</v>
      </c>
    </row>
    <row r="6" spans="1:11" ht="58">
      <c r="A6" s="13" t="s">
        <v>124</v>
      </c>
      <c r="B6" s="13" t="s">
        <v>129</v>
      </c>
      <c r="D6" s="168" t="s">
        <v>1424</v>
      </c>
      <c r="E6" s="168" t="s">
        <v>1425</v>
      </c>
      <c r="F6" s="13" t="s">
        <v>54</v>
      </c>
      <c r="G6" s="13" t="s">
        <v>11</v>
      </c>
      <c r="K6" s="13" t="str">
        <f>A6</f>
        <v>Line</v>
      </c>
    </row>
    <row r="7" spans="1:11">
      <c r="A7" s="131">
        <v>100</v>
      </c>
      <c r="B7" s="14" t="s">
        <v>889</v>
      </c>
      <c r="C7" s="14"/>
      <c r="D7" s="444">
        <v>20784382</v>
      </c>
      <c r="E7" s="444">
        <v>20784382</v>
      </c>
      <c r="F7" t="s">
        <v>1307</v>
      </c>
      <c r="G7" t="s">
        <v>125</v>
      </c>
      <c r="K7" s="131">
        <f>A7</f>
        <v>100</v>
      </c>
    </row>
    <row r="8" spans="1:11" ht="15" thickBot="1">
      <c r="A8" s="131">
        <f>A7+1</f>
        <v>101</v>
      </c>
      <c r="B8" s="14" t="s">
        <v>888</v>
      </c>
      <c r="E8" s="444">
        <v>22661819</v>
      </c>
      <c r="F8" t="s">
        <v>1307</v>
      </c>
      <c r="G8" s="241" t="s">
        <v>126</v>
      </c>
      <c r="K8" s="131">
        <f>A8</f>
        <v>101</v>
      </c>
    </row>
    <row r="9" spans="1:11" ht="15" thickBot="1">
      <c r="A9" s="131">
        <f>A8+1</f>
        <v>102</v>
      </c>
      <c r="B9" s="14" t="s">
        <v>887</v>
      </c>
      <c r="D9" s="557"/>
      <c r="E9" s="563">
        <f>+J60</f>
        <v>21794487.562613845</v>
      </c>
      <c r="F9" s="6" t="str">
        <f>CONCATENATE("Line ",A60,", ","col 9")</f>
        <v>Line 414, col 9</v>
      </c>
      <c r="G9" s="241"/>
      <c r="K9" s="131">
        <f>A9</f>
        <v>102</v>
      </c>
    </row>
    <row r="10" spans="1:11">
      <c r="A10" s="131"/>
      <c r="B10" s="14"/>
      <c r="C10" s="14"/>
      <c r="D10" s="32"/>
      <c r="E10" s="32"/>
      <c r="K10" s="131"/>
    </row>
    <row r="11" spans="1:11">
      <c r="A11" s="131"/>
      <c r="B11" s="52" t="s">
        <v>886</v>
      </c>
      <c r="C11" s="54"/>
      <c r="D11" s="54"/>
      <c r="E11" s="54"/>
      <c r="F11" s="54"/>
      <c r="G11" s="54"/>
      <c r="H11" s="54"/>
      <c r="I11" s="54"/>
      <c r="J11" s="54"/>
      <c r="K11" s="131"/>
    </row>
    <row r="12" spans="1:11">
      <c r="A12" s="13" t="s">
        <v>124</v>
      </c>
      <c r="B12" s="13" t="s">
        <v>129</v>
      </c>
      <c r="D12" s="13"/>
      <c r="E12" s="13"/>
      <c r="F12" s="13" t="s">
        <v>54</v>
      </c>
      <c r="G12" s="13" t="s">
        <v>11</v>
      </c>
      <c r="K12" s="13" t="str">
        <f>A12</f>
        <v>Line</v>
      </c>
    </row>
    <row r="13" spans="1:11">
      <c r="A13" s="131">
        <v>200</v>
      </c>
      <c r="B13" t="s">
        <v>56</v>
      </c>
      <c r="D13" s="31">
        <f>'22-TaxRates'!C6</f>
        <v>0.21</v>
      </c>
      <c r="E13" s="31">
        <f>'22-TaxRates'!C6</f>
        <v>0.21</v>
      </c>
      <c r="F13" t="s">
        <v>1022</v>
      </c>
      <c r="K13" s="131">
        <f>A13</f>
        <v>200</v>
      </c>
    </row>
    <row r="14" spans="1:11">
      <c r="A14" s="131">
        <f>A13+1</f>
        <v>201</v>
      </c>
      <c r="B14" t="s">
        <v>57</v>
      </c>
      <c r="D14" s="34">
        <f>'22-TaxRates'!C7</f>
        <v>8.8400000000000006E-2</v>
      </c>
      <c r="E14" s="34">
        <f>'22-TaxRates'!C7</f>
        <v>8.8400000000000006E-2</v>
      </c>
      <c r="F14" t="s">
        <v>1023</v>
      </c>
      <c r="K14" s="131">
        <f>A14</f>
        <v>201</v>
      </c>
    </row>
    <row r="15" spans="1:11">
      <c r="A15" s="131">
        <f>A14+1</f>
        <v>202</v>
      </c>
      <c r="B15" s="12" t="s">
        <v>58</v>
      </c>
      <c r="C15" s="12"/>
      <c r="D15" s="556">
        <f>(D13+D14)-(D13*D14)</f>
        <v>0.27983599999999997</v>
      </c>
      <c r="E15" s="556">
        <f>(E13+E14)-(E13*E14)</f>
        <v>0.27983599999999997</v>
      </c>
      <c r="F15" s="17" t="str">
        <f>"(Line "&amp;A13&amp;" + Line "&amp;A14&amp;") - (Line "&amp;A13&amp;" * Line "&amp;A14&amp;")"</f>
        <v>(Line 200 + Line 201) - (Line 200 * Line 201)</v>
      </c>
      <c r="K15" s="131">
        <f>A15</f>
        <v>202</v>
      </c>
    </row>
    <row r="16" spans="1:11">
      <c r="A16" s="131"/>
      <c r="K16" s="131"/>
    </row>
    <row r="17" spans="1:11">
      <c r="A17" s="131">
        <f>A15+1</f>
        <v>203</v>
      </c>
      <c r="B17" s="12" t="s">
        <v>60</v>
      </c>
      <c r="D17" s="367">
        <f>(((D22*D23)+D26)*(D24/(1-D24)))+D25/(1-D24)</f>
        <v>3029060.7883019834</v>
      </c>
      <c r="E17" s="367">
        <f>(((E22*E23)+E26)*(E24/(1-E24)))+E25/(1-E24)</f>
        <v>3049574.691327814</v>
      </c>
      <c r="K17" s="131">
        <f>A17</f>
        <v>203</v>
      </c>
    </row>
    <row r="18" spans="1:11">
      <c r="A18" s="131"/>
      <c r="D18" s="17"/>
      <c r="E18" s="17"/>
      <c r="K18" s="131"/>
    </row>
    <row r="19" spans="1:11">
      <c r="A19" s="131"/>
      <c r="B19" t="s">
        <v>1263</v>
      </c>
      <c r="K19" s="131"/>
    </row>
    <row r="20" spans="1:11">
      <c r="A20" s="131"/>
      <c r="K20" s="131"/>
    </row>
    <row r="21" spans="1:11">
      <c r="A21" s="131"/>
      <c r="B21" t="s">
        <v>61</v>
      </c>
      <c r="K21" s="131"/>
    </row>
    <row r="22" spans="1:11">
      <c r="A22" s="131">
        <f>A17+1</f>
        <v>204</v>
      </c>
      <c r="B22" s="35" t="s">
        <v>62</v>
      </c>
      <c r="C22" s="35"/>
      <c r="D22" s="33">
        <f>D7</f>
        <v>20784382</v>
      </c>
      <c r="E22" s="33">
        <f>+E9</f>
        <v>21794487.562613845</v>
      </c>
      <c r="F22" s="6" t="str">
        <f>CONCATENATE("Line ",A7," or ",A9)</f>
        <v>Line 100 or 102</v>
      </c>
      <c r="K22" s="131">
        <f>A22</f>
        <v>204</v>
      </c>
    </row>
    <row r="23" spans="1:11">
      <c r="A23" s="131">
        <f>A22+1</f>
        <v>205</v>
      </c>
      <c r="B23" s="18" t="s">
        <v>63</v>
      </c>
      <c r="C23" s="18"/>
      <c r="D23" s="31">
        <f>D32+D33</f>
        <v>5.2264807947588816E-2</v>
      </c>
      <c r="E23" s="31">
        <f>D32+D33</f>
        <v>5.2264807947588816E-2</v>
      </c>
      <c r="F23" s="6" t="str">
        <f>CONCATENATE("Line ",A32," + ","Line ",A33)</f>
        <v>Line 301 + Line 302</v>
      </c>
      <c r="K23" s="131">
        <f>A23</f>
        <v>205</v>
      </c>
    </row>
    <row r="24" spans="1:11">
      <c r="A24" s="131">
        <f>A23+1</f>
        <v>206</v>
      </c>
      <c r="B24" s="35" t="s">
        <v>64</v>
      </c>
      <c r="C24" s="35"/>
      <c r="D24" s="28">
        <f>+D15</f>
        <v>0.27983599999999997</v>
      </c>
      <c r="E24" s="28">
        <f>+D15</f>
        <v>0.27983599999999997</v>
      </c>
      <c r="F24" s="6" t="str">
        <f>CONCATENATE("Line ",A15)</f>
        <v>Line 202</v>
      </c>
      <c r="K24" s="131">
        <f>A24</f>
        <v>206</v>
      </c>
    </row>
    <row r="25" spans="1:11">
      <c r="A25" s="131">
        <f>A24+1</f>
        <v>207</v>
      </c>
      <c r="B25" s="35" t="s">
        <v>65</v>
      </c>
      <c r="C25" s="35"/>
      <c r="D25" s="444">
        <v>1877437</v>
      </c>
      <c r="E25" s="444">
        <v>1877437</v>
      </c>
      <c r="F25" t="s">
        <v>1307</v>
      </c>
      <c r="G25" t="s">
        <v>169</v>
      </c>
      <c r="K25" s="131">
        <f>A25</f>
        <v>207</v>
      </c>
    </row>
    <row r="26" spans="1:11">
      <c r="A26" s="131">
        <f>A25+1</f>
        <v>208</v>
      </c>
      <c r="B26" s="35" t="s">
        <v>139</v>
      </c>
      <c r="C26" s="35"/>
      <c r="D26" s="158">
        <v>0</v>
      </c>
      <c r="E26" s="158">
        <v>0</v>
      </c>
      <c r="K26" s="131">
        <f>A26</f>
        <v>208</v>
      </c>
    </row>
    <row r="27" spans="1:11">
      <c r="A27" s="131"/>
      <c r="B27" s="35"/>
      <c r="C27" s="35"/>
      <c r="D27" s="158"/>
      <c r="E27" s="158"/>
      <c r="K27" s="131"/>
    </row>
    <row r="28" spans="1:11">
      <c r="A28" s="131"/>
      <c r="B28" s="52" t="s">
        <v>885</v>
      </c>
      <c r="C28" s="54"/>
      <c r="D28" s="54"/>
      <c r="E28" s="54"/>
      <c r="F28" s="54"/>
      <c r="G28" s="54"/>
      <c r="H28" s="54"/>
      <c r="I28" s="54"/>
      <c r="J28" s="54"/>
      <c r="K28" s="131"/>
    </row>
    <row r="29" spans="1:11" ht="43.5">
      <c r="A29" s="13" t="s">
        <v>124</v>
      </c>
      <c r="B29" s="13" t="s">
        <v>129</v>
      </c>
      <c r="D29" s="168" t="s">
        <v>1426</v>
      </c>
      <c r="E29" s="168" t="s">
        <v>1427</v>
      </c>
      <c r="F29" s="13" t="s">
        <v>54</v>
      </c>
      <c r="G29" s="13" t="s">
        <v>11</v>
      </c>
      <c r="K29" s="13" t="str">
        <f>A29</f>
        <v>Line</v>
      </c>
    </row>
    <row r="30" spans="1:11">
      <c r="A30" s="131"/>
      <c r="B30" s="11" t="s">
        <v>47</v>
      </c>
      <c r="C30" s="11"/>
      <c r="K30" s="131"/>
    </row>
    <row r="31" spans="1:11">
      <c r="A31" s="131">
        <v>300</v>
      </c>
      <c r="B31" t="s">
        <v>48</v>
      </c>
      <c r="D31" s="28">
        <f>'1-BaseTRR'!D63</f>
        <v>1.9601499999999997E-2</v>
      </c>
      <c r="E31" s="28">
        <f>'1-BaseTRR'!D63</f>
        <v>1.9601499999999997E-2</v>
      </c>
      <c r="F31" t="s">
        <v>1284</v>
      </c>
      <c r="K31" s="131">
        <f>A31</f>
        <v>300</v>
      </c>
    </row>
    <row r="32" spans="1:11">
      <c r="A32" s="131">
        <f>A31+1</f>
        <v>301</v>
      </c>
      <c r="B32" t="s">
        <v>49</v>
      </c>
      <c r="D32" s="28">
        <f>'1-BaseTRR'!D64</f>
        <v>2.7605794758881429E-4</v>
      </c>
      <c r="E32" s="28">
        <f>'1-BaseTRR'!D64</f>
        <v>2.7605794758881429E-4</v>
      </c>
      <c r="F32" t="s">
        <v>1483</v>
      </c>
      <c r="K32" s="131">
        <f>A32</f>
        <v>301</v>
      </c>
    </row>
    <row r="33" spans="1:11">
      <c r="A33" s="131">
        <f>A32+1</f>
        <v>302</v>
      </c>
      <c r="B33" t="s">
        <v>50</v>
      </c>
      <c r="D33" s="34">
        <f>'1-BaseTRR'!D65</f>
        <v>5.198875E-2</v>
      </c>
      <c r="E33" s="34">
        <f>'1-BaseTRR'!D65</f>
        <v>5.198875E-2</v>
      </c>
      <c r="F33" t="s">
        <v>1484</v>
      </c>
      <c r="K33" s="131">
        <f>A33</f>
        <v>302</v>
      </c>
    </row>
    <row r="34" spans="1:11">
      <c r="A34" s="131">
        <f>A33+1</f>
        <v>303</v>
      </c>
      <c r="B34" s="12" t="s">
        <v>51</v>
      </c>
      <c r="C34" s="12"/>
      <c r="D34" s="31">
        <f>SUM(D31:D33)</f>
        <v>7.1866307947588803E-2</v>
      </c>
      <c r="E34" s="31">
        <f>SUM(E31:E33)</f>
        <v>7.1866307947588803E-2</v>
      </c>
      <c r="F34" s="6" t="str">
        <f>"Sum of Lines "&amp;A31&amp;" to "&amp;A33&amp;""</f>
        <v>Sum of Lines 300 to 302</v>
      </c>
      <c r="K34" s="131">
        <f>A34</f>
        <v>303</v>
      </c>
    </row>
    <row r="35" spans="1:11">
      <c r="A35" s="131"/>
      <c r="K35" s="131"/>
    </row>
    <row r="36" spans="1:11">
      <c r="A36" s="131">
        <f>A34+1</f>
        <v>304</v>
      </c>
      <c r="B36" s="12" t="s">
        <v>53</v>
      </c>
      <c r="C36" s="12"/>
      <c r="D36" s="367">
        <f>+D7*D34</f>
        <v>1493696.7973123216</v>
      </c>
      <c r="E36" s="367">
        <f>+E9*E34</f>
        <v>1566289.3547347006</v>
      </c>
      <c r="F36" t="str">
        <f>CONCATENATE("Line ",A7," or ",A9," * ","Line ",A34)</f>
        <v>Line 100 or 102 * Line 303</v>
      </c>
      <c r="K36" s="131">
        <f>A36</f>
        <v>304</v>
      </c>
    </row>
    <row r="37" spans="1:11">
      <c r="A37" s="131"/>
      <c r="H37" s="286"/>
      <c r="I37" s="18"/>
      <c r="K37" s="131"/>
    </row>
    <row r="38" spans="1:11" ht="15" thickBot="1">
      <c r="A38" s="131">
        <f>A36+1</f>
        <v>305</v>
      </c>
      <c r="B38" s="12" t="s">
        <v>884</v>
      </c>
      <c r="D38" s="366">
        <f>+D17+D36</f>
        <v>4522757.585614305</v>
      </c>
      <c r="E38" s="366">
        <f>+E17+E36</f>
        <v>4615864.0460625142</v>
      </c>
      <c r="F38" s="6" t="str">
        <f>CONCATENATE("Line ",A36," + ","Line ",A17)</f>
        <v>Line 304 + Line 203</v>
      </c>
      <c r="H38" s="286"/>
      <c r="I38" s="18"/>
      <c r="K38" s="131">
        <f>A38</f>
        <v>305</v>
      </c>
    </row>
    <row r="39" spans="1:11" ht="15" thickTop="1">
      <c r="A39" s="131"/>
      <c r="E39" s="33"/>
      <c r="H39" s="309"/>
      <c r="I39" s="310"/>
      <c r="J39" s="131"/>
    </row>
    <row r="40" spans="1:11">
      <c r="A40" s="131"/>
      <c r="B40" s="118" t="s">
        <v>883</v>
      </c>
      <c r="C40" s="180"/>
      <c r="D40" s="301"/>
      <c r="E40" s="301"/>
      <c r="F40" s="296"/>
      <c r="G40" s="296"/>
      <c r="H40" s="365"/>
      <c r="I40" s="364"/>
      <c r="J40" s="364"/>
    </row>
    <row r="41" spans="1:11">
      <c r="A41" s="131"/>
      <c r="B41" s="122" t="s">
        <v>100</v>
      </c>
      <c r="C41" s="122" t="s">
        <v>101</v>
      </c>
      <c r="D41" s="122" t="s">
        <v>102</v>
      </c>
      <c r="E41" s="122" t="s">
        <v>103</v>
      </c>
      <c r="F41" s="122" t="s">
        <v>104</v>
      </c>
      <c r="G41" s="122" t="s">
        <v>105</v>
      </c>
      <c r="H41" s="122" t="s">
        <v>106</v>
      </c>
      <c r="I41" s="122" t="s">
        <v>107</v>
      </c>
      <c r="J41" s="119" t="s">
        <v>108</v>
      </c>
      <c r="K41" s="131"/>
    </row>
    <row r="42" spans="1:11" ht="30" customHeight="1">
      <c r="A42" s="131"/>
      <c r="B42" s="176"/>
      <c r="C42" s="176"/>
      <c r="D42" s="363" t="s">
        <v>1308</v>
      </c>
      <c r="E42" s="363" t="s">
        <v>1309</v>
      </c>
      <c r="F42" s="286"/>
      <c r="G42" s="286"/>
      <c r="H42" s="303" t="s">
        <v>1592</v>
      </c>
      <c r="I42" s="304" t="s">
        <v>1593</v>
      </c>
      <c r="J42" s="362" t="s">
        <v>1594</v>
      </c>
      <c r="K42" s="131"/>
    </row>
    <row r="43" spans="1:11">
      <c r="A43" s="131"/>
      <c r="B43" s="176"/>
      <c r="C43" s="176"/>
      <c r="D43" s="291"/>
      <c r="E43" s="291"/>
      <c r="F43" s="286"/>
      <c r="G43" s="286"/>
      <c r="H43" s="286"/>
      <c r="I43" s="18"/>
      <c r="J43" s="17"/>
      <c r="K43" s="131"/>
    </row>
    <row r="44" spans="1:11">
      <c r="A44" s="131"/>
      <c r="B44" s="182"/>
      <c r="C44" s="182"/>
      <c r="D44" s="303" t="s">
        <v>659</v>
      </c>
      <c r="E44" s="303" t="s">
        <v>660</v>
      </c>
      <c r="F44" s="303"/>
      <c r="G44" s="303" t="s">
        <v>661</v>
      </c>
      <c r="H44" s="303" t="s">
        <v>662</v>
      </c>
      <c r="I44" s="131" t="s">
        <v>663</v>
      </c>
      <c r="J44" s="131" t="s">
        <v>664</v>
      </c>
      <c r="K44" s="131"/>
    </row>
    <row r="45" spans="1:11">
      <c r="A45" s="13" t="s">
        <v>124</v>
      </c>
      <c r="B45" s="182" t="s">
        <v>665</v>
      </c>
      <c r="C45" s="182" t="s">
        <v>111</v>
      </c>
      <c r="D45" s="305" t="s">
        <v>666</v>
      </c>
      <c r="E45" s="305" t="s">
        <v>667</v>
      </c>
      <c r="F45" s="305" t="s">
        <v>668</v>
      </c>
      <c r="G45" s="305" t="s">
        <v>669</v>
      </c>
      <c r="H45" s="305" t="s">
        <v>670</v>
      </c>
      <c r="I45" s="119" t="s">
        <v>671</v>
      </c>
      <c r="J45" s="119" t="s">
        <v>672</v>
      </c>
      <c r="K45" s="13" t="str">
        <f t="shared" ref="K45:K60" si="0">A45</f>
        <v>Line</v>
      </c>
    </row>
    <row r="46" spans="1:11">
      <c r="A46" s="131">
        <v>400</v>
      </c>
      <c r="B46" s="306" t="s">
        <v>1087</v>
      </c>
      <c r="C46" s="306"/>
      <c r="D46" s="307"/>
      <c r="E46" s="209">
        <f>+E8</f>
        <v>22661819</v>
      </c>
      <c r="F46" s="286"/>
      <c r="G46" s="308">
        <v>366</v>
      </c>
      <c r="H46" s="309">
        <f>1</f>
        <v>1</v>
      </c>
      <c r="I46" s="310"/>
      <c r="J46" s="424">
        <f>+E46</f>
        <v>22661819</v>
      </c>
      <c r="K46" s="131">
        <f t="shared" si="0"/>
        <v>400</v>
      </c>
    </row>
    <row r="47" spans="1:11">
      <c r="A47" s="131">
        <f t="shared" ref="A47:A60" si="1">A46+1</f>
        <v>401</v>
      </c>
      <c r="B47" s="306" t="s">
        <v>114</v>
      </c>
      <c r="C47" s="149">
        <f>'1-BaseTRR'!$F$2</f>
        <v>2022</v>
      </c>
      <c r="D47" s="209">
        <f t="shared" ref="D47:D58" si="2">($D$7-$E$8)/12</f>
        <v>-156453.08333333334</v>
      </c>
      <c r="E47" s="209">
        <f t="shared" ref="E47:E58" si="3">E46+D47</f>
        <v>22505365.916666668</v>
      </c>
      <c r="F47" s="44">
        <v>31</v>
      </c>
      <c r="G47" s="44">
        <f t="shared" ref="G47:G58" si="4">+G46-F47</f>
        <v>335</v>
      </c>
      <c r="H47" s="309">
        <f>G47/G46</f>
        <v>0.91530054644808745</v>
      </c>
      <c r="I47" s="442">
        <f t="shared" ref="I47:I58" si="5">D47*H47</f>
        <v>-143201.59266848819</v>
      </c>
      <c r="J47" s="33">
        <f t="shared" ref="J47:J58" si="6">J46+I47</f>
        <v>22518617.407331511</v>
      </c>
      <c r="K47" s="131">
        <f t="shared" si="0"/>
        <v>401</v>
      </c>
    </row>
    <row r="48" spans="1:11">
      <c r="A48" s="131">
        <f t="shared" si="1"/>
        <v>402</v>
      </c>
      <c r="B48" s="306" t="s">
        <v>115</v>
      </c>
      <c r="C48" s="149">
        <f>'1-BaseTRR'!$F$2</f>
        <v>2022</v>
      </c>
      <c r="D48" s="209">
        <f t="shared" si="2"/>
        <v>-156453.08333333334</v>
      </c>
      <c r="E48" s="209">
        <f t="shared" si="3"/>
        <v>22348912.833333336</v>
      </c>
      <c r="F48" s="312">
        <v>28</v>
      </c>
      <c r="G48" s="44">
        <f t="shared" si="4"/>
        <v>307</v>
      </c>
      <c r="H48" s="309">
        <f>G48/G46</f>
        <v>0.83879781420765032</v>
      </c>
      <c r="I48" s="442">
        <f t="shared" si="5"/>
        <v>-131232.50432604738</v>
      </c>
      <c r="J48" s="33">
        <f t="shared" si="6"/>
        <v>22387384.903005466</v>
      </c>
      <c r="K48" s="131">
        <f t="shared" si="0"/>
        <v>402</v>
      </c>
    </row>
    <row r="49" spans="1:11">
      <c r="A49" s="131">
        <f t="shared" si="1"/>
        <v>403</v>
      </c>
      <c r="B49" s="306" t="s">
        <v>116</v>
      </c>
      <c r="C49" s="149">
        <f>'1-BaseTRR'!$F$2</f>
        <v>2022</v>
      </c>
      <c r="D49" s="209">
        <f t="shared" si="2"/>
        <v>-156453.08333333334</v>
      </c>
      <c r="E49" s="209">
        <f t="shared" si="3"/>
        <v>22192459.750000004</v>
      </c>
      <c r="F49" s="44">
        <v>31</v>
      </c>
      <c r="G49" s="44">
        <f t="shared" si="4"/>
        <v>276</v>
      </c>
      <c r="H49" s="309">
        <f>G49/G46</f>
        <v>0.75409836065573765</v>
      </c>
      <c r="I49" s="442">
        <f t="shared" si="5"/>
        <v>-117981.01366120219</v>
      </c>
      <c r="J49" s="33">
        <f t="shared" si="6"/>
        <v>22269403.889344264</v>
      </c>
      <c r="K49" s="131">
        <f t="shared" si="0"/>
        <v>403</v>
      </c>
    </row>
    <row r="50" spans="1:11">
      <c r="A50" s="131">
        <f t="shared" si="1"/>
        <v>404</v>
      </c>
      <c r="B50" s="306" t="s">
        <v>117</v>
      </c>
      <c r="C50" s="149">
        <f>'1-BaseTRR'!$F$2</f>
        <v>2022</v>
      </c>
      <c r="D50" s="209">
        <f t="shared" si="2"/>
        <v>-156453.08333333334</v>
      </c>
      <c r="E50" s="209">
        <f t="shared" si="3"/>
        <v>22036006.666666672</v>
      </c>
      <c r="F50" s="44">
        <v>30</v>
      </c>
      <c r="G50" s="44">
        <f t="shared" si="4"/>
        <v>246</v>
      </c>
      <c r="H50" s="309">
        <f>G50/G46</f>
        <v>0.67213114754098358</v>
      </c>
      <c r="I50" s="442">
        <f t="shared" si="5"/>
        <v>-105156.99043715847</v>
      </c>
      <c r="J50" s="33">
        <f t="shared" si="6"/>
        <v>22164246.898907106</v>
      </c>
      <c r="K50" s="131">
        <f t="shared" si="0"/>
        <v>404</v>
      </c>
    </row>
    <row r="51" spans="1:11">
      <c r="A51" s="131">
        <f t="shared" si="1"/>
        <v>405</v>
      </c>
      <c r="B51" s="306" t="s">
        <v>90</v>
      </c>
      <c r="C51" s="149">
        <f>'1-BaseTRR'!$F$2</f>
        <v>2022</v>
      </c>
      <c r="D51" s="209">
        <f t="shared" si="2"/>
        <v>-156453.08333333334</v>
      </c>
      <c r="E51" s="209">
        <f t="shared" si="3"/>
        <v>21879553.58333334</v>
      </c>
      <c r="F51" s="44">
        <v>31</v>
      </c>
      <c r="G51" s="44">
        <f t="shared" si="4"/>
        <v>215</v>
      </c>
      <c r="H51" s="309">
        <f>G51/G46</f>
        <v>0.58743169398907102</v>
      </c>
      <c r="I51" s="442">
        <f t="shared" si="5"/>
        <v>-91905.499772313298</v>
      </c>
      <c r="J51" s="33">
        <f t="shared" si="6"/>
        <v>22072341.399134792</v>
      </c>
      <c r="K51" s="131">
        <f t="shared" si="0"/>
        <v>405</v>
      </c>
    </row>
    <row r="52" spans="1:11">
      <c r="A52" s="131">
        <f t="shared" si="1"/>
        <v>406</v>
      </c>
      <c r="B52" s="306" t="s">
        <v>277</v>
      </c>
      <c r="C52" s="149">
        <f>'1-BaseTRR'!$F$2</f>
        <v>2022</v>
      </c>
      <c r="D52" s="209">
        <f t="shared" si="2"/>
        <v>-156453.08333333334</v>
      </c>
      <c r="E52" s="209">
        <f t="shared" si="3"/>
        <v>21723100.500000007</v>
      </c>
      <c r="F52" s="44">
        <v>30</v>
      </c>
      <c r="G52" s="44">
        <f t="shared" si="4"/>
        <v>185</v>
      </c>
      <c r="H52" s="309">
        <f>G52/G46</f>
        <v>0.50546448087431695</v>
      </c>
      <c r="I52" s="442">
        <f t="shared" si="5"/>
        <v>-79081.47654826958</v>
      </c>
      <c r="J52" s="33">
        <f t="shared" si="6"/>
        <v>21993259.922586523</v>
      </c>
      <c r="K52" s="131">
        <f t="shared" si="0"/>
        <v>406</v>
      </c>
    </row>
    <row r="53" spans="1:11">
      <c r="A53" s="131">
        <f t="shared" si="1"/>
        <v>407</v>
      </c>
      <c r="B53" s="306" t="s">
        <v>119</v>
      </c>
      <c r="C53" s="149">
        <f>'1-BaseTRR'!$F$2</f>
        <v>2022</v>
      </c>
      <c r="D53" s="209">
        <f t="shared" si="2"/>
        <v>-156453.08333333334</v>
      </c>
      <c r="E53" s="209">
        <f t="shared" si="3"/>
        <v>21566647.416666675</v>
      </c>
      <c r="F53" s="44">
        <v>31</v>
      </c>
      <c r="G53" s="44">
        <f t="shared" si="4"/>
        <v>154</v>
      </c>
      <c r="H53" s="309">
        <f>G53/G46</f>
        <v>0.42076502732240439</v>
      </c>
      <c r="I53" s="442">
        <f t="shared" si="5"/>
        <v>-65829.985883424422</v>
      </c>
      <c r="J53" s="33">
        <f t="shared" si="6"/>
        <v>21927429.936703097</v>
      </c>
      <c r="K53" s="131">
        <f t="shared" si="0"/>
        <v>407</v>
      </c>
    </row>
    <row r="54" spans="1:11">
      <c r="A54" s="131">
        <f t="shared" si="1"/>
        <v>408</v>
      </c>
      <c r="B54" s="306" t="s">
        <v>120</v>
      </c>
      <c r="C54" s="149">
        <f>'1-BaseTRR'!$F$2</f>
        <v>2022</v>
      </c>
      <c r="D54" s="209">
        <f t="shared" si="2"/>
        <v>-156453.08333333334</v>
      </c>
      <c r="E54" s="209">
        <f t="shared" si="3"/>
        <v>21410194.333333343</v>
      </c>
      <c r="F54" s="44">
        <v>31</v>
      </c>
      <c r="G54" s="44">
        <f t="shared" si="4"/>
        <v>123</v>
      </c>
      <c r="H54" s="309">
        <f>G54/G46</f>
        <v>0.33606557377049179</v>
      </c>
      <c r="I54" s="442">
        <f t="shared" si="5"/>
        <v>-52578.495218579235</v>
      </c>
      <c r="J54" s="33">
        <f t="shared" si="6"/>
        <v>21874851.441484518</v>
      </c>
      <c r="K54" s="131">
        <f t="shared" si="0"/>
        <v>408</v>
      </c>
    </row>
    <row r="55" spans="1:11">
      <c r="A55" s="131">
        <f t="shared" si="1"/>
        <v>409</v>
      </c>
      <c r="B55" s="306" t="s">
        <v>121</v>
      </c>
      <c r="C55" s="149">
        <f>'1-BaseTRR'!$F$2</f>
        <v>2022</v>
      </c>
      <c r="D55" s="209">
        <f t="shared" si="2"/>
        <v>-156453.08333333334</v>
      </c>
      <c r="E55" s="209">
        <f t="shared" si="3"/>
        <v>21253741.250000011</v>
      </c>
      <c r="F55" s="44">
        <v>30</v>
      </c>
      <c r="G55" s="44">
        <f t="shared" si="4"/>
        <v>93</v>
      </c>
      <c r="H55" s="309">
        <f>G55/G46</f>
        <v>0.25409836065573771</v>
      </c>
      <c r="I55" s="442">
        <f t="shared" si="5"/>
        <v>-39754.471994535525</v>
      </c>
      <c r="J55" s="33">
        <f t="shared" si="6"/>
        <v>21835096.969489984</v>
      </c>
      <c r="K55" s="131">
        <f t="shared" si="0"/>
        <v>409</v>
      </c>
    </row>
    <row r="56" spans="1:11">
      <c r="A56" s="131">
        <f t="shared" si="1"/>
        <v>410</v>
      </c>
      <c r="B56" s="306" t="s">
        <v>122</v>
      </c>
      <c r="C56" s="149">
        <f>'1-BaseTRR'!$F$2</f>
        <v>2022</v>
      </c>
      <c r="D56" s="209">
        <f t="shared" si="2"/>
        <v>-156453.08333333334</v>
      </c>
      <c r="E56" s="209">
        <f t="shared" si="3"/>
        <v>21097288.166666679</v>
      </c>
      <c r="F56" s="44">
        <v>31</v>
      </c>
      <c r="G56" s="44">
        <f t="shared" si="4"/>
        <v>62</v>
      </c>
      <c r="H56" s="309">
        <f>G56/G46</f>
        <v>0.16939890710382513</v>
      </c>
      <c r="I56" s="442">
        <f t="shared" si="5"/>
        <v>-26502.981329690349</v>
      </c>
      <c r="J56" s="33">
        <f t="shared" si="6"/>
        <v>21808593.988160294</v>
      </c>
      <c r="K56" s="131">
        <f t="shared" si="0"/>
        <v>410</v>
      </c>
    </row>
    <row r="57" spans="1:11">
      <c r="A57" s="131">
        <f t="shared" si="1"/>
        <v>411</v>
      </c>
      <c r="B57" s="306" t="s">
        <v>123</v>
      </c>
      <c r="C57" s="149">
        <f>'1-BaseTRR'!$F$2</f>
        <v>2022</v>
      </c>
      <c r="D57" s="209">
        <f t="shared" si="2"/>
        <v>-156453.08333333334</v>
      </c>
      <c r="E57" s="209">
        <f t="shared" si="3"/>
        <v>20940835.083333347</v>
      </c>
      <c r="F57" s="44">
        <v>30</v>
      </c>
      <c r="G57" s="44">
        <f t="shared" si="4"/>
        <v>32</v>
      </c>
      <c r="H57" s="309">
        <f>G57/G46</f>
        <v>8.7431693989071038E-2</v>
      </c>
      <c r="I57" s="442">
        <f t="shared" si="5"/>
        <v>-13678.95810564663</v>
      </c>
      <c r="J57" s="33">
        <f t="shared" si="6"/>
        <v>21794915.030054647</v>
      </c>
      <c r="K57" s="131">
        <f t="shared" si="0"/>
        <v>411</v>
      </c>
    </row>
    <row r="58" spans="1:11">
      <c r="A58" s="131">
        <f t="shared" si="1"/>
        <v>412</v>
      </c>
      <c r="B58" s="306" t="s">
        <v>113</v>
      </c>
      <c r="C58" s="149">
        <f>'1-BaseTRR'!$F$2</f>
        <v>2022</v>
      </c>
      <c r="D58" s="209">
        <f t="shared" si="2"/>
        <v>-156453.08333333334</v>
      </c>
      <c r="E58" s="209">
        <f t="shared" si="3"/>
        <v>20784382.000000015</v>
      </c>
      <c r="F58" s="44">
        <v>31</v>
      </c>
      <c r="G58" s="44">
        <f t="shared" si="4"/>
        <v>1</v>
      </c>
      <c r="H58" s="309">
        <f>G58/G46</f>
        <v>2.7322404371584699E-3</v>
      </c>
      <c r="I58" s="442">
        <f t="shared" si="5"/>
        <v>-427.4674408014572</v>
      </c>
      <c r="J58" s="443">
        <f t="shared" si="6"/>
        <v>21794487.562613845</v>
      </c>
      <c r="K58" s="131">
        <f t="shared" si="0"/>
        <v>412</v>
      </c>
    </row>
    <row r="59" spans="1:11">
      <c r="A59" s="131">
        <f t="shared" si="1"/>
        <v>413</v>
      </c>
      <c r="B59" s="306" t="s">
        <v>1088</v>
      </c>
      <c r="C59" s="306"/>
      <c r="D59" s="311"/>
      <c r="E59" s="209">
        <f>+D7</f>
        <v>20784382</v>
      </c>
      <c r="F59" s="286"/>
      <c r="G59" s="286"/>
      <c r="H59" s="286"/>
      <c r="I59" s="18"/>
      <c r="J59" s="208"/>
      <c r="K59" s="131">
        <f t="shared" si="0"/>
        <v>413</v>
      </c>
    </row>
    <row r="60" spans="1:11">
      <c r="A60" s="131">
        <f t="shared" si="1"/>
        <v>414</v>
      </c>
      <c r="B60" s="176"/>
      <c r="C60" s="176"/>
      <c r="D60" s="291"/>
      <c r="E60" s="291"/>
      <c r="F60" s="286"/>
      <c r="G60" s="286"/>
      <c r="H60" s="286"/>
      <c r="I60" s="361" t="s">
        <v>673</v>
      </c>
      <c r="J60" s="436">
        <f>+J58</f>
        <v>21794487.562613845</v>
      </c>
      <c r="K60" s="131">
        <f t="shared" si="0"/>
        <v>414</v>
      </c>
    </row>
    <row r="61" spans="1:11">
      <c r="A61" s="131"/>
      <c r="B61" s="176"/>
      <c r="C61" s="176"/>
      <c r="D61" s="291"/>
      <c r="E61" s="291"/>
      <c r="F61" s="286"/>
      <c r="G61" s="286"/>
      <c r="H61" s="286"/>
      <c r="I61" s="313"/>
      <c r="J61" s="207"/>
      <c r="K61" s="131"/>
    </row>
    <row r="62" spans="1:11">
      <c r="A62" s="131"/>
      <c r="C62" s="176"/>
      <c r="D62" s="360"/>
      <c r="E62" s="360"/>
      <c r="F62" s="285"/>
      <c r="G62" s="285"/>
      <c r="H62" s="359"/>
      <c r="I62" s="310"/>
      <c r="J62" s="131"/>
    </row>
    <row r="63" spans="1:11">
      <c r="B63" s="206" t="s">
        <v>127</v>
      </c>
    </row>
    <row r="64" spans="1:11">
      <c r="B64" t="s">
        <v>1312</v>
      </c>
    </row>
    <row r="65" spans="2:10">
      <c r="B65" t="s">
        <v>1313</v>
      </c>
    </row>
    <row r="66" spans="2:10">
      <c r="B66" t="s">
        <v>1314</v>
      </c>
    </row>
    <row r="67" spans="2:10">
      <c r="B67" s="816" t="s">
        <v>1310</v>
      </c>
      <c r="C67" s="816"/>
      <c r="D67" s="816"/>
      <c r="E67" s="816"/>
      <c r="F67" s="816"/>
      <c r="G67" s="816"/>
      <c r="H67" s="816"/>
      <c r="I67" s="816"/>
      <c r="J67" s="17"/>
    </row>
    <row r="68" spans="2:10">
      <c r="B68" s="816" t="s">
        <v>1311</v>
      </c>
      <c r="C68" s="816"/>
      <c r="D68" s="816"/>
      <c r="E68" s="816"/>
      <c r="F68" s="816"/>
      <c r="G68" s="816"/>
      <c r="H68" s="816"/>
      <c r="I68" s="816"/>
      <c r="J68" s="17"/>
    </row>
  </sheetData>
  <protectedRanges>
    <protectedRange password="F1C4" sqref="B8:C9 D9:E9" name="AAReport1_23_1_1_2"/>
    <protectedRange password="F1C4" sqref="E8" name="AAReport1_23_1_1_1_1_1"/>
    <protectedRange password="F1C4" sqref="F9 F22:F24 F38" name="AAReport1_23_1_1_2_3"/>
  </protectedRanges>
  <mergeCells count="2">
    <mergeCell ref="B67:I67"/>
    <mergeCell ref="B68:I68"/>
  </mergeCells>
  <printOptions horizontalCentered="1"/>
  <pageMargins left="1" right="1" top="1" bottom="1" header="0.5" footer="0.5"/>
  <pageSetup scale="5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69"/>
  <sheetViews>
    <sheetView tabSelected="1" view="pageBreakPreview" topLeftCell="A11" zoomScale="55" zoomScaleNormal="85" zoomScaleSheetLayoutView="55" workbookViewId="0">
      <selection activeCell="P108" sqref="P108"/>
    </sheetView>
  </sheetViews>
  <sheetFormatPr defaultColWidth="9.1796875" defaultRowHeight="14.5"/>
  <cols>
    <col min="1" max="1" width="4.7265625" bestFit="1" customWidth="1"/>
    <col min="2" max="2" width="68.26953125" customWidth="1"/>
    <col min="3" max="3" width="18.81640625" customWidth="1"/>
    <col min="4" max="4" width="55.453125" bestFit="1" customWidth="1"/>
    <col min="5" max="5" width="19.1796875" bestFit="1" customWidth="1"/>
    <col min="6" max="6" width="4.7265625" bestFit="1" customWidth="1"/>
    <col min="7" max="7" width="23.7265625" bestFit="1" customWidth="1"/>
    <col min="8" max="8" width="13.81640625" bestFit="1" customWidth="1"/>
    <col min="9" max="9" width="10.1796875" bestFit="1" customWidth="1"/>
    <col min="10" max="10" width="9.453125" bestFit="1" customWidth="1"/>
  </cols>
  <sheetData>
    <row r="1" spans="1:6">
      <c r="B1" s="12" t="s">
        <v>916</v>
      </c>
      <c r="D1" s="15"/>
      <c r="E1" s="15" t="str">
        <f>CONCATENATE("Prior Year: ",'1-BaseTRR'!$F$2)</f>
        <v>Prior Year: 2022</v>
      </c>
    </row>
    <row r="2" spans="1:6">
      <c r="B2" s="117" t="s">
        <v>196</v>
      </c>
    </row>
    <row r="4" spans="1:6">
      <c r="A4" s="13" t="s">
        <v>124</v>
      </c>
      <c r="B4" s="13" t="s">
        <v>129</v>
      </c>
      <c r="C4" s="13" t="s">
        <v>881</v>
      </c>
      <c r="D4" s="13" t="s">
        <v>301</v>
      </c>
      <c r="E4" s="13" t="s">
        <v>11</v>
      </c>
      <c r="F4" s="13" t="str">
        <f>A4</f>
        <v>Line</v>
      </c>
    </row>
    <row r="5" spans="1:6">
      <c r="B5" s="57" t="s">
        <v>915</v>
      </c>
      <c r="C5" s="54"/>
      <c r="D5" s="54"/>
      <c r="E5" s="54"/>
    </row>
    <row r="6" spans="1:6">
      <c r="A6" s="8">
        <v>100</v>
      </c>
      <c r="B6" t="s">
        <v>914</v>
      </c>
      <c r="C6" s="352">
        <v>2321743464.4099998</v>
      </c>
      <c r="D6" s="4" t="s">
        <v>2020</v>
      </c>
      <c r="F6" s="8">
        <f>A6</f>
        <v>100</v>
      </c>
    </row>
    <row r="7" spans="1:6">
      <c r="A7" s="8">
        <f>A6+1</f>
        <v>101</v>
      </c>
      <c r="B7" t="s">
        <v>913</v>
      </c>
      <c r="C7" s="352">
        <v>-307482801</v>
      </c>
      <c r="D7" s="4" t="s">
        <v>2021</v>
      </c>
      <c r="F7" s="8">
        <f>A7</f>
        <v>101</v>
      </c>
    </row>
    <row r="8" spans="1:6">
      <c r="A8" s="8">
        <f>A7+1</f>
        <v>102</v>
      </c>
      <c r="B8" t="s">
        <v>912</v>
      </c>
      <c r="C8" s="352">
        <v>-145831063.22</v>
      </c>
      <c r="D8" s="4" t="s">
        <v>2022</v>
      </c>
      <c r="F8" s="8">
        <f>A8</f>
        <v>102</v>
      </c>
    </row>
    <row r="9" spans="1:6">
      <c r="A9" s="8">
        <f>A8+1</f>
        <v>103</v>
      </c>
      <c r="B9" t="s">
        <v>909</v>
      </c>
      <c r="C9" s="800">
        <v>-70773445.558300063</v>
      </c>
      <c r="D9" s="4" t="s">
        <v>1329</v>
      </c>
      <c r="F9" s="8">
        <f>A9</f>
        <v>103</v>
      </c>
    </row>
    <row r="10" spans="1:6">
      <c r="A10" s="8">
        <f>A9+1</f>
        <v>104</v>
      </c>
      <c r="B10" s="12" t="s">
        <v>1089</v>
      </c>
      <c r="C10" s="353">
        <f>C6+C7+C8+C9</f>
        <v>1797656154.6316998</v>
      </c>
      <c r="D10" s="4" t="s">
        <v>1090</v>
      </c>
      <c r="F10" s="8">
        <f>A10</f>
        <v>104</v>
      </c>
    </row>
    <row r="11" spans="1:6">
      <c r="A11" s="8"/>
      <c r="C11" s="33"/>
      <c r="D11" s="4"/>
      <c r="F11" s="8"/>
    </row>
    <row r="12" spans="1:6">
      <c r="A12" s="8">
        <f>A10+1</f>
        <v>105</v>
      </c>
      <c r="B12" t="s">
        <v>911</v>
      </c>
      <c r="C12" s="352">
        <v>1637751444.0499997</v>
      </c>
      <c r="D12" s="4" t="s">
        <v>2023</v>
      </c>
      <c r="F12" s="8">
        <f>A12</f>
        <v>105</v>
      </c>
    </row>
    <row r="13" spans="1:6">
      <c r="A13" s="8">
        <f>A12+1</f>
        <v>106</v>
      </c>
      <c r="B13" t="s">
        <v>910</v>
      </c>
      <c r="C13" s="33">
        <f>C7</f>
        <v>-307482801</v>
      </c>
      <c r="D13" s="4" t="str">
        <f>"Line "&amp;A7&amp;""</f>
        <v>Line 101</v>
      </c>
      <c r="F13" s="8">
        <f>A13</f>
        <v>106</v>
      </c>
    </row>
    <row r="14" spans="1:6">
      <c r="A14" s="8">
        <f>A13+1</f>
        <v>107</v>
      </c>
      <c r="B14" t="s">
        <v>909</v>
      </c>
      <c r="C14" s="800">
        <v>-58927169.118300065</v>
      </c>
      <c r="D14" s="4" t="s">
        <v>1434</v>
      </c>
      <c r="F14" s="8">
        <f>A14</f>
        <v>107</v>
      </c>
    </row>
    <row r="15" spans="1:6">
      <c r="A15" s="8">
        <f>A14+1</f>
        <v>108</v>
      </c>
      <c r="B15" s="12" t="s">
        <v>907</v>
      </c>
      <c r="C15" s="353">
        <f>C12+C13+C14</f>
        <v>1271341473.9316998</v>
      </c>
      <c r="D15" s="4" t="str">
        <f>"Line "&amp;A12&amp;" - Line "&amp;A13&amp;" + Line "&amp;A14&amp;""</f>
        <v>Line 105 - Line 106 + Line 107</v>
      </c>
      <c r="F15" s="8">
        <f>A15</f>
        <v>108</v>
      </c>
    </row>
    <row r="16" spans="1:6">
      <c r="A16" s="8"/>
      <c r="D16" s="4"/>
      <c r="F16" s="8"/>
    </row>
    <row r="17" spans="1:7">
      <c r="A17" s="8">
        <f>A15+1</f>
        <v>109</v>
      </c>
      <c r="B17" s="12" t="s">
        <v>908</v>
      </c>
      <c r="C17" s="368">
        <f>C15/C10</f>
        <v>0.7072217179331326</v>
      </c>
      <c r="D17" s="4" t="str">
        <f>"Line "&amp;A15&amp;" / Line "&amp;A10&amp;""</f>
        <v>Line 108 / Line 104</v>
      </c>
      <c r="F17" s="8">
        <f>A17</f>
        <v>109</v>
      </c>
      <c r="G17" s="801"/>
    </row>
    <row r="18" spans="1:7">
      <c r="F18" s="8"/>
      <c r="G18" s="801"/>
    </row>
    <row r="19" spans="1:7">
      <c r="B19" s="57" t="s">
        <v>1518</v>
      </c>
      <c r="C19" s="54"/>
      <c r="D19" s="54"/>
      <c r="E19" s="54"/>
      <c r="F19" s="8"/>
      <c r="G19" s="801"/>
    </row>
    <row r="20" spans="1:7">
      <c r="A20" s="8">
        <f>A17+1</f>
        <v>110</v>
      </c>
      <c r="B20" t="s">
        <v>907</v>
      </c>
      <c r="C20" s="33">
        <f>C15</f>
        <v>1271341473.9316998</v>
      </c>
      <c r="D20" s="4" t="str">
        <f>"Line "&amp;A15&amp;""</f>
        <v>Line 108</v>
      </c>
      <c r="F20" s="8">
        <f>A20</f>
        <v>110</v>
      </c>
      <c r="G20" s="801"/>
    </row>
    <row r="21" spans="1:7">
      <c r="A21" s="8">
        <f>A20+1</f>
        <v>111</v>
      </c>
      <c r="B21" t="s">
        <v>1519</v>
      </c>
      <c r="C21" s="33">
        <f>'18-OandM'!N10</f>
        <v>172133955.29521492</v>
      </c>
      <c r="D21" s="4" t="s">
        <v>1091</v>
      </c>
      <c r="F21" s="8">
        <f>A21</f>
        <v>111</v>
      </c>
      <c r="G21" s="801"/>
    </row>
    <row r="22" spans="1:7">
      <c r="A22" s="8"/>
      <c r="D22" s="6"/>
      <c r="F22" s="8"/>
      <c r="G22" s="801"/>
    </row>
    <row r="23" spans="1:7">
      <c r="A23" s="8">
        <f>A21+1</f>
        <v>112</v>
      </c>
      <c r="B23" s="12" t="s">
        <v>1520</v>
      </c>
      <c r="C23" s="368">
        <f>C21/C20</f>
        <v>0.13539553206179952</v>
      </c>
      <c r="D23" s="4" t="str">
        <f>"Line "&amp;A21&amp;" / Line "&amp;A20&amp;""</f>
        <v>Line 111 / Line 110</v>
      </c>
      <c r="F23" s="8">
        <f>A23</f>
        <v>112</v>
      </c>
      <c r="G23" s="801"/>
    </row>
    <row r="24" spans="1:7">
      <c r="A24" s="8">
        <f>+A23+1</f>
        <v>113</v>
      </c>
      <c r="B24" s="12" t="s">
        <v>1521</v>
      </c>
      <c r="C24" s="368">
        <f>C21/C10</f>
        <v>9.5754660785216397E-2</v>
      </c>
      <c r="D24" s="4" t="str">
        <f>"Line "&amp;A21&amp;" / Line "&amp;A10&amp;""</f>
        <v>Line 111 / Line 104</v>
      </c>
      <c r="F24" s="8">
        <f>A24</f>
        <v>113</v>
      </c>
      <c r="G24" s="801"/>
    </row>
    <row r="25" spans="1:7">
      <c r="A25" s="8"/>
      <c r="B25" s="12"/>
      <c r="C25" s="368"/>
      <c r="F25" s="8"/>
    </row>
    <row r="26" spans="1:7">
      <c r="B26" s="57" t="s">
        <v>906</v>
      </c>
      <c r="C26" s="54"/>
      <c r="D26" s="54"/>
      <c r="E26" s="54"/>
      <c r="F26" s="370"/>
    </row>
    <row r="27" spans="1:7">
      <c r="A27" s="8">
        <f>A24+1</f>
        <v>114</v>
      </c>
      <c r="B27" s="17" t="s">
        <v>1522</v>
      </c>
      <c r="C27" s="33">
        <f>+'7-PlantInService'!$P$24+'7-PlantInService'!$D$128</f>
        <v>17125301357.413162</v>
      </c>
      <c r="D27" s="217" t="s">
        <v>1092</v>
      </c>
      <c r="E27" s="412" t="s">
        <v>1098</v>
      </c>
      <c r="F27" s="8">
        <f>+A27</f>
        <v>114</v>
      </c>
    </row>
    <row r="28" spans="1:7">
      <c r="A28" s="8">
        <f>+A27+1</f>
        <v>115</v>
      </c>
      <c r="B28" s="17" t="s">
        <v>905</v>
      </c>
      <c r="C28" s="352">
        <v>106463636777.83</v>
      </c>
      <c r="D28" s="6" t="s">
        <v>1874</v>
      </c>
      <c r="E28" s="412" t="s">
        <v>1098</v>
      </c>
      <c r="F28" s="8">
        <f>+A28</f>
        <v>115</v>
      </c>
    </row>
    <row r="29" spans="1:7">
      <c r="A29" s="8">
        <f>+A28+1</f>
        <v>116</v>
      </c>
      <c r="B29" s="12" t="s">
        <v>1523</v>
      </c>
      <c r="C29" s="239">
        <f>+C27/C28</f>
        <v>0.16085587413428787</v>
      </c>
      <c r="D29" s="4" t="str">
        <f>"Line "&amp;A27&amp;" / Line "&amp;A28&amp;""</f>
        <v>Line 114 / Line 115</v>
      </c>
      <c r="F29" s="8">
        <f>+A29</f>
        <v>116</v>
      </c>
    </row>
    <row r="30" spans="1:7">
      <c r="A30" s="8"/>
      <c r="C30" s="29"/>
      <c r="D30" s="4"/>
      <c r="F30" s="8"/>
    </row>
    <row r="31" spans="1:7">
      <c r="A31" s="8">
        <f>+A29+1</f>
        <v>117</v>
      </c>
      <c r="B31" s="17" t="s">
        <v>1522</v>
      </c>
      <c r="C31" s="33">
        <f>+'7-PlantInService'!$P$24+'7-PlantInService'!$D$128</f>
        <v>17125301357.413162</v>
      </c>
      <c r="D31" s="217" t="s">
        <v>1092</v>
      </c>
      <c r="E31" s="412" t="s">
        <v>1098</v>
      </c>
      <c r="F31" s="8">
        <f>+A31</f>
        <v>117</v>
      </c>
    </row>
    <row r="32" spans="1:7">
      <c r="A32" s="8">
        <f>+A31+1</f>
        <v>118</v>
      </c>
      <c r="B32" s="17" t="s">
        <v>904</v>
      </c>
      <c r="C32" s="352">
        <v>78950070330.678314</v>
      </c>
      <c r="D32" s="6" t="s">
        <v>1875</v>
      </c>
      <c r="E32" s="412" t="s">
        <v>1098</v>
      </c>
      <c r="F32" s="8">
        <f>+A32</f>
        <v>118</v>
      </c>
    </row>
    <row r="33" spans="1:8">
      <c r="A33" s="8">
        <f>+A32+1</f>
        <v>119</v>
      </c>
      <c r="B33" s="12" t="s">
        <v>1524</v>
      </c>
      <c r="C33" s="239">
        <f>+C31/C32</f>
        <v>0.21691306018708681</v>
      </c>
      <c r="D33" s="4" t="str">
        <f>"Line "&amp;A31&amp;" / Line "&amp;A32&amp;""</f>
        <v>Line 117 / Line 118</v>
      </c>
      <c r="F33" s="8">
        <f>+A33</f>
        <v>119</v>
      </c>
    </row>
    <row r="34" spans="1:8">
      <c r="A34" s="8"/>
      <c r="C34" s="29"/>
      <c r="D34" s="4"/>
      <c r="F34" s="8"/>
    </row>
    <row r="35" spans="1:8">
      <c r="A35" s="8">
        <f>+A33+1</f>
        <v>120</v>
      </c>
      <c r="B35" s="17" t="s">
        <v>1525</v>
      </c>
      <c r="C35" s="33">
        <f>'7-PlantInService'!$P$24</f>
        <v>15658655291.088451</v>
      </c>
      <c r="D35" s="4" t="s">
        <v>1010</v>
      </c>
      <c r="F35" s="8">
        <f>+A35</f>
        <v>120</v>
      </c>
    </row>
    <row r="36" spans="1:8">
      <c r="A36" s="8">
        <f>+A35+1</f>
        <v>121</v>
      </c>
      <c r="B36" s="17" t="s">
        <v>903</v>
      </c>
      <c r="C36" s="33">
        <f>'6-PlantJurisdiction'!D24+'6-PlantJurisdiction'!F24</f>
        <v>16454320106.219994</v>
      </c>
      <c r="D36" s="4" t="s">
        <v>1488</v>
      </c>
      <c r="F36" s="8">
        <f>+A36</f>
        <v>121</v>
      </c>
    </row>
    <row r="37" spans="1:8">
      <c r="A37" s="8">
        <f>+A36+1</f>
        <v>122</v>
      </c>
      <c r="B37" s="142" t="s">
        <v>1526</v>
      </c>
      <c r="C37" s="239">
        <f>C35/C36</f>
        <v>0.95164401749843386</v>
      </c>
      <c r="D37" s="4" t="str">
        <f>"Line "&amp;A35&amp;" / Line "&amp;A36&amp;""</f>
        <v>Line 120 / Line 121</v>
      </c>
      <c r="F37" s="8">
        <f>+A37</f>
        <v>122</v>
      </c>
    </row>
    <row r="38" spans="1:8">
      <c r="A38" s="8"/>
      <c r="C38" s="29"/>
      <c r="D38" s="17"/>
      <c r="F38" s="8"/>
    </row>
    <row r="39" spans="1:8">
      <c r="B39" s="118" t="s">
        <v>902</v>
      </c>
      <c r="C39" s="54"/>
      <c r="D39" s="54"/>
      <c r="E39" s="54"/>
      <c r="F39" s="20"/>
    </row>
    <row r="40" spans="1:8">
      <c r="A40" s="8">
        <f>+A37+1</f>
        <v>123</v>
      </c>
      <c r="B40" s="17" t="s">
        <v>1525</v>
      </c>
      <c r="C40" s="33">
        <f>'7-PlantInService'!$P$24</f>
        <v>15658655291.088451</v>
      </c>
      <c r="D40" s="4" t="s">
        <v>1010</v>
      </c>
      <c r="E40" s="412" t="s">
        <v>1098</v>
      </c>
      <c r="F40" s="8">
        <f>+A40</f>
        <v>123</v>
      </c>
    </row>
    <row r="41" spans="1:8">
      <c r="A41" s="8">
        <f>+A40+1</f>
        <v>124</v>
      </c>
      <c r="B41" s="17" t="s">
        <v>370</v>
      </c>
      <c r="C41" s="33">
        <f>+'7-PlantInService'!P49</f>
        <v>5366128911.051445</v>
      </c>
      <c r="D41" s="4" t="s">
        <v>1093</v>
      </c>
      <c r="E41" s="412" t="s">
        <v>1098</v>
      </c>
      <c r="F41" s="8">
        <f>+A41</f>
        <v>124</v>
      </c>
    </row>
    <row r="42" spans="1:8">
      <c r="A42" s="8">
        <f>+A41+1</f>
        <v>125</v>
      </c>
      <c r="B42" s="17" t="s">
        <v>371</v>
      </c>
      <c r="C42" s="33">
        <f>+'7-PlantInService'!P74</f>
        <v>10292526380.037006</v>
      </c>
      <c r="D42" s="4" t="s">
        <v>1094</v>
      </c>
      <c r="E42" s="412" t="s">
        <v>1098</v>
      </c>
      <c r="F42" s="8">
        <f>+A42</f>
        <v>125</v>
      </c>
    </row>
    <row r="43" spans="1:8">
      <c r="A43" s="8">
        <f>+A42+1</f>
        <v>126</v>
      </c>
      <c r="B43" s="142" t="s">
        <v>897</v>
      </c>
      <c r="C43" s="368">
        <f>+C41/C40</f>
        <v>0.34269410822941992</v>
      </c>
      <c r="D43" s="4" t="str">
        <f>"Line "&amp;A41&amp;" / Line "&amp;A40&amp;""</f>
        <v>Line 124 / Line 123</v>
      </c>
      <c r="F43" s="8">
        <f>+A43</f>
        <v>126</v>
      </c>
    </row>
    <row r="44" spans="1:8">
      <c r="A44" s="8">
        <f>+A43+1</f>
        <v>127</v>
      </c>
      <c r="B44" s="142" t="s">
        <v>896</v>
      </c>
      <c r="C44" s="368">
        <f>+C42/C40</f>
        <v>0.65730589177058008</v>
      </c>
      <c r="D44" s="4" t="str">
        <f>"Line "&amp;A42&amp;" / Line "&amp;A40&amp;""</f>
        <v>Line 125 / Line 123</v>
      </c>
      <c r="F44" s="8">
        <f>+A44</f>
        <v>127</v>
      </c>
    </row>
    <row r="46" spans="1:8">
      <c r="B46" s="118" t="s">
        <v>1530</v>
      </c>
      <c r="C46" s="54"/>
      <c r="D46" s="54"/>
      <c r="E46" s="54"/>
      <c r="F46" s="20"/>
    </row>
    <row r="47" spans="1:8">
      <c r="A47" s="8">
        <f>+A44+1</f>
        <v>128</v>
      </c>
      <c r="B47" s="17" t="s">
        <v>901</v>
      </c>
      <c r="C47" s="33">
        <f>+'9-PlantAdditions'!E75</f>
        <v>1295395110.4458194</v>
      </c>
      <c r="D47" s="4" t="s">
        <v>1095</v>
      </c>
      <c r="E47" s="412" t="s">
        <v>1099</v>
      </c>
      <c r="F47" s="8">
        <f t="shared" ref="F47:F53" si="0">+A47</f>
        <v>128</v>
      </c>
      <c r="H47" s="28"/>
    </row>
    <row r="48" spans="1:8">
      <c r="A48" s="8">
        <f t="shared" ref="A48:A53" si="1">+A47+1</f>
        <v>129</v>
      </c>
      <c r="B48" s="17" t="s">
        <v>900</v>
      </c>
      <c r="C48" s="33">
        <f>+'9-PlantAdditions'!E111</f>
        <v>1433225853.3862996</v>
      </c>
      <c r="D48" s="4" t="s">
        <v>1096</v>
      </c>
      <c r="E48" s="412" t="s">
        <v>1099</v>
      </c>
      <c r="F48" s="8">
        <f t="shared" si="0"/>
        <v>129</v>
      </c>
      <c r="H48" s="31"/>
    </row>
    <row r="49" spans="1:7">
      <c r="A49" s="8">
        <f t="shared" si="1"/>
        <v>130</v>
      </c>
      <c r="B49" s="17" t="s">
        <v>899</v>
      </c>
      <c r="C49" s="33">
        <f>+C47+C41</f>
        <v>6661524021.4972649</v>
      </c>
      <c r="D49" s="4" t="str">
        <f>"Line "&amp;A41&amp;" + Line "&amp;A47&amp;""</f>
        <v>Line 124 + Line 128</v>
      </c>
      <c r="E49" s="412" t="s">
        <v>1099</v>
      </c>
      <c r="F49" s="8">
        <f t="shared" si="0"/>
        <v>130</v>
      </c>
    </row>
    <row r="50" spans="1:7">
      <c r="A50" s="8">
        <f t="shared" si="1"/>
        <v>131</v>
      </c>
      <c r="B50" s="17" t="s">
        <v>898</v>
      </c>
      <c r="C50" s="33">
        <f>+C42+C48</f>
        <v>11725752233.423306</v>
      </c>
      <c r="D50" s="4" t="str">
        <f>"Line "&amp;A42&amp;" + Line "&amp;A48&amp;""</f>
        <v>Line 125 + Line 129</v>
      </c>
      <c r="E50" s="412" t="s">
        <v>1099</v>
      </c>
      <c r="F50" s="8">
        <f t="shared" si="0"/>
        <v>131</v>
      </c>
    </row>
    <row r="51" spans="1:7">
      <c r="A51" s="8">
        <f t="shared" si="1"/>
        <v>132</v>
      </c>
      <c r="B51" s="17" t="s">
        <v>1527</v>
      </c>
      <c r="C51" s="33">
        <f>+C50+C49</f>
        <v>18387276254.92057</v>
      </c>
      <c r="D51" s="6" t="str">
        <f>"Line "&amp;A49&amp;" + Line "&amp;A50&amp;""</f>
        <v>Line 130 + Line 131</v>
      </c>
      <c r="E51" s="412" t="s">
        <v>1099</v>
      </c>
      <c r="F51" s="8">
        <f t="shared" si="0"/>
        <v>132</v>
      </c>
    </row>
    <row r="52" spans="1:7">
      <c r="A52" s="8">
        <f t="shared" si="1"/>
        <v>133</v>
      </c>
      <c r="B52" s="142" t="s">
        <v>897</v>
      </c>
      <c r="C52" s="368">
        <f>+C49/C51</f>
        <v>0.36228987529975204</v>
      </c>
      <c r="D52" s="4" t="str">
        <f>"Line "&amp;A49&amp;" / Line "&amp;A51&amp;""</f>
        <v>Line 130 / Line 132</v>
      </c>
      <c r="E52" s="412" t="s">
        <v>1099</v>
      </c>
      <c r="F52" s="8">
        <f t="shared" si="0"/>
        <v>133</v>
      </c>
    </row>
    <row r="53" spans="1:7">
      <c r="A53" s="8">
        <f t="shared" si="1"/>
        <v>134</v>
      </c>
      <c r="B53" s="142" t="s">
        <v>896</v>
      </c>
      <c r="C53" s="368">
        <f>+C50/C51</f>
        <v>0.63771012470024802</v>
      </c>
      <c r="D53" s="4" t="str">
        <f>"Line "&amp;A50&amp;" / Line "&amp;A51&amp;""</f>
        <v>Line 131 / Line 132</v>
      </c>
      <c r="E53" s="412" t="s">
        <v>1099</v>
      </c>
      <c r="F53" s="8">
        <f t="shared" si="0"/>
        <v>134</v>
      </c>
    </row>
    <row r="55" spans="1:7">
      <c r="B55" s="57" t="s">
        <v>895</v>
      </c>
      <c r="C55" s="369"/>
      <c r="D55" s="54"/>
      <c r="E55" s="54"/>
    </row>
    <row r="56" spans="1:7" ht="29">
      <c r="A56" s="8">
        <f>A53+1</f>
        <v>135</v>
      </c>
      <c r="B56" s="692" t="s">
        <v>1698</v>
      </c>
      <c r="C56" s="368">
        <f>0.6*C24+0.4*C29</f>
        <v>0.12179514612484499</v>
      </c>
      <c r="D56" s="4" t="str">
        <f>"(60% * Line "&amp;A24&amp;") + (40% *Line "&amp;A29&amp;")"</f>
        <v>(60% * Line 113) + (40% *Line 116)</v>
      </c>
      <c r="F56" s="8">
        <f>A56</f>
        <v>135</v>
      </c>
    </row>
    <row r="57" spans="1:7" ht="29">
      <c r="A57" s="8">
        <f>A56+1</f>
        <v>136</v>
      </c>
      <c r="B57" s="692" t="s">
        <v>1699</v>
      </c>
      <c r="C57" s="368">
        <f>0.6*C23+0.4*C33</f>
        <v>0.16800254331191444</v>
      </c>
      <c r="D57" s="4" t="str">
        <f>"(60% * Line "&amp;A23&amp;") + (40% *Line "&amp;A33&amp;")"</f>
        <v>(60% * Line 112) + (40% *Line 119)</v>
      </c>
      <c r="F57" s="8">
        <f>A57</f>
        <v>136</v>
      </c>
      <c r="G57" s="695"/>
    </row>
    <row r="58" spans="1:7">
      <c r="A58" s="8"/>
      <c r="B58" s="12"/>
      <c r="C58" s="368"/>
    </row>
    <row r="59" spans="1:7">
      <c r="A59" s="8"/>
      <c r="B59" s="57" t="s">
        <v>894</v>
      </c>
      <c r="C59" s="369"/>
      <c r="D59" s="54"/>
      <c r="E59" s="54"/>
    </row>
    <row r="60" spans="1:7">
      <c r="A60" s="8">
        <f>A57+1</f>
        <v>137</v>
      </c>
      <c r="B60" t="s">
        <v>1528</v>
      </c>
      <c r="C60" s="32">
        <f>+'10-AccDep'!P26+'10-AccDep'!D128</f>
        <v>4199168502.7793026</v>
      </c>
      <c r="D60" s="217" t="s">
        <v>1097</v>
      </c>
      <c r="F60" s="8">
        <f>A60</f>
        <v>137</v>
      </c>
    </row>
    <row r="61" spans="1:7">
      <c r="A61" s="8">
        <f>+A60+1</f>
        <v>138</v>
      </c>
      <c r="B61" s="17" t="s">
        <v>893</v>
      </c>
      <c r="C61" s="352">
        <v>34449702125.000046</v>
      </c>
      <c r="D61" s="6" t="s">
        <v>1909</v>
      </c>
      <c r="F61" s="8">
        <f>A61</f>
        <v>138</v>
      </c>
    </row>
    <row r="62" spans="1:7">
      <c r="A62" s="8">
        <f>+A61+1</f>
        <v>139</v>
      </c>
      <c r="B62" t="s">
        <v>1529</v>
      </c>
      <c r="C62" s="33">
        <f>+C31-C60</f>
        <v>12926132854.63386</v>
      </c>
      <c r="D62" s="6" t="s">
        <v>1712</v>
      </c>
      <c r="F62" s="8">
        <f>A62</f>
        <v>139</v>
      </c>
    </row>
    <row r="63" spans="1:7">
      <c r="A63" s="8">
        <f>+A62+1</f>
        <v>140</v>
      </c>
      <c r="B63" s="17" t="s">
        <v>892</v>
      </c>
      <c r="C63" s="33">
        <f>+C32-C61</f>
        <v>44500368205.678268</v>
      </c>
      <c r="D63" s="6" t="s">
        <v>1713</v>
      </c>
      <c r="F63" s="8">
        <f>A63</f>
        <v>140</v>
      </c>
    </row>
    <row r="64" spans="1:7">
      <c r="A64" s="8">
        <f>+A63+1</f>
        <v>141</v>
      </c>
      <c r="B64" s="12" t="s">
        <v>1334</v>
      </c>
      <c r="C64" s="368">
        <f>C62/C63</f>
        <v>0.29047249215759252</v>
      </c>
      <c r="D64" s="4" t="s">
        <v>1714</v>
      </c>
      <c r="F64" s="8">
        <f>A64</f>
        <v>141</v>
      </c>
    </row>
    <row r="68" spans="3:3">
      <c r="C68" s="333"/>
    </row>
    <row r="69" spans="3:3">
      <c r="C69" s="333"/>
    </row>
  </sheetData>
  <printOptions horizontalCentered="1"/>
  <pageMargins left="1" right="1" top="1" bottom="1" header="0.5" footer="0.5"/>
  <pageSetup scale="6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28"/>
  <sheetViews>
    <sheetView tabSelected="1" view="pageBreakPreview" zoomScale="55" zoomScaleSheetLayoutView="55" workbookViewId="0">
      <selection activeCell="P108" sqref="P108"/>
    </sheetView>
  </sheetViews>
  <sheetFormatPr defaultColWidth="9.1796875" defaultRowHeight="14.5"/>
  <cols>
    <col min="1" max="1" width="6.7265625" bestFit="1" customWidth="1"/>
    <col min="2" max="2" width="9.54296875" customWidth="1"/>
    <col min="3" max="3" width="8.54296875" customWidth="1"/>
    <col min="4" max="4" width="17.81640625" customWidth="1"/>
    <col min="5" max="5" width="19.453125" bestFit="1" customWidth="1"/>
    <col min="6" max="6" width="33.453125" bestFit="1" customWidth="1"/>
    <col min="7" max="7" width="4.7265625" bestFit="1" customWidth="1"/>
  </cols>
  <sheetData>
    <row r="1" spans="1:7">
      <c r="B1" s="12" t="s">
        <v>926</v>
      </c>
      <c r="E1" s="15"/>
      <c r="F1" s="15" t="str">
        <f>CONCATENATE("Prior Year: ",'1-BaseTRR'!$F$2)</f>
        <v>Prior Year: 2022</v>
      </c>
    </row>
    <row r="2" spans="1:7">
      <c r="B2" s="117" t="s">
        <v>196</v>
      </c>
      <c r="C2" s="49"/>
    </row>
    <row r="4" spans="1:7">
      <c r="A4" s="13" t="s">
        <v>124</v>
      </c>
      <c r="G4" s="13" t="str">
        <f>A4</f>
        <v>Line</v>
      </c>
    </row>
    <row r="5" spans="1:7">
      <c r="B5" s="57" t="s">
        <v>925</v>
      </c>
      <c r="C5" s="54"/>
      <c r="D5" s="54"/>
      <c r="E5" s="54"/>
      <c r="F5" s="54"/>
    </row>
    <row r="6" spans="1:7">
      <c r="B6" s="16" t="s">
        <v>922</v>
      </c>
      <c r="C6" s="16" t="s">
        <v>921</v>
      </c>
      <c r="D6" s="16" t="s">
        <v>920</v>
      </c>
      <c r="E6" s="16" t="s">
        <v>917</v>
      </c>
      <c r="F6" s="13" t="s">
        <v>301</v>
      </c>
    </row>
    <row r="7" spans="1:7">
      <c r="A7" s="8">
        <v>100</v>
      </c>
      <c r="B7" s="49"/>
      <c r="C7" s="49" t="s">
        <v>1959</v>
      </c>
      <c r="D7" s="49">
        <v>365</v>
      </c>
      <c r="E7" s="374">
        <v>7.6870000000000003E-3</v>
      </c>
      <c r="F7" s="373" t="s">
        <v>1330</v>
      </c>
      <c r="G7" s="8">
        <f>A7</f>
        <v>100</v>
      </c>
    </row>
    <row r="8" spans="1:7">
      <c r="A8" s="8">
        <f>A7+1</f>
        <v>101</v>
      </c>
      <c r="B8" s="372" t="s">
        <v>1404</v>
      </c>
      <c r="C8" s="49"/>
      <c r="D8" s="49"/>
      <c r="E8" s="374"/>
      <c r="F8" s="373"/>
      <c r="G8" s="8">
        <f>A8</f>
        <v>101</v>
      </c>
    </row>
    <row r="9" spans="1:7">
      <c r="A9" s="8"/>
      <c r="G9" s="8"/>
    </row>
    <row r="10" spans="1:7">
      <c r="A10" s="8"/>
      <c r="B10" s="57" t="s">
        <v>924</v>
      </c>
      <c r="C10" s="54"/>
      <c r="D10" s="54"/>
      <c r="E10" s="54"/>
      <c r="F10" s="54"/>
      <c r="G10" s="8"/>
    </row>
    <row r="11" spans="1:7">
      <c r="A11" s="8"/>
      <c r="B11" s="12" t="s">
        <v>922</v>
      </c>
      <c r="C11" s="12" t="s">
        <v>921</v>
      </c>
      <c r="D11" s="12" t="s">
        <v>920</v>
      </c>
      <c r="E11" s="12" t="s">
        <v>141</v>
      </c>
      <c r="F11" s="12" t="s">
        <v>301</v>
      </c>
      <c r="G11" s="8"/>
    </row>
    <row r="12" spans="1:7">
      <c r="A12" s="8">
        <v>200</v>
      </c>
      <c r="B12" s="49"/>
      <c r="C12" s="49" t="s">
        <v>1959</v>
      </c>
      <c r="D12" s="49">
        <v>365</v>
      </c>
      <c r="E12" s="374">
        <v>2.0782341986441631E-4</v>
      </c>
      <c r="F12" s="373" t="s">
        <v>1285</v>
      </c>
      <c r="G12" s="8">
        <f>A12</f>
        <v>200</v>
      </c>
    </row>
    <row r="13" spans="1:7">
      <c r="A13" s="8">
        <f>A12+1</f>
        <v>201</v>
      </c>
      <c r="B13" s="372" t="s">
        <v>1404</v>
      </c>
      <c r="C13" s="49"/>
      <c r="D13" s="49"/>
      <c r="E13" s="49"/>
      <c r="G13" s="8">
        <f>A13</f>
        <v>201</v>
      </c>
    </row>
    <row r="14" spans="1:7">
      <c r="A14" s="8"/>
      <c r="G14" s="8"/>
    </row>
    <row r="15" spans="1:7">
      <c r="A15" s="8"/>
      <c r="B15" s="57" t="s">
        <v>923</v>
      </c>
      <c r="C15" s="54"/>
      <c r="D15" s="54"/>
      <c r="E15" s="54"/>
      <c r="F15" s="54"/>
      <c r="G15" s="8"/>
    </row>
    <row r="16" spans="1:7">
      <c r="A16" s="8"/>
      <c r="B16" s="12" t="s">
        <v>922</v>
      </c>
      <c r="C16" s="12" t="s">
        <v>921</v>
      </c>
      <c r="D16" s="12" t="s">
        <v>920</v>
      </c>
      <c r="E16" s="12" t="s">
        <v>919</v>
      </c>
      <c r="F16" s="12" t="s">
        <v>301</v>
      </c>
      <c r="G16" s="8"/>
    </row>
    <row r="17" spans="1:7">
      <c r="A17" s="8">
        <v>300</v>
      </c>
      <c r="B17" s="49"/>
      <c r="C17" s="49" t="s">
        <v>1959</v>
      </c>
      <c r="D17" s="49">
        <v>365</v>
      </c>
      <c r="E17" s="374">
        <v>3.5142409364145128E-3</v>
      </c>
      <c r="F17" s="373" t="s">
        <v>1331</v>
      </c>
      <c r="G17" s="8">
        <f>A17</f>
        <v>300</v>
      </c>
    </row>
    <row r="18" spans="1:7">
      <c r="A18" s="8">
        <f>A17+1</f>
        <v>301</v>
      </c>
      <c r="B18" s="372" t="s">
        <v>1404</v>
      </c>
      <c r="C18" s="49"/>
      <c r="D18" s="49"/>
      <c r="E18" s="49"/>
      <c r="G18" s="8">
        <f>A18</f>
        <v>301</v>
      </c>
    </row>
    <row r="19" spans="1:7">
      <c r="A19" s="8"/>
      <c r="G19" s="8"/>
    </row>
    <row r="20" spans="1:7">
      <c r="A20" s="8"/>
      <c r="B20" s="57" t="s">
        <v>918</v>
      </c>
      <c r="C20" s="54"/>
      <c r="D20" s="54"/>
      <c r="E20" s="54"/>
      <c r="F20" s="54"/>
      <c r="G20" s="8"/>
    </row>
    <row r="21" spans="1:7">
      <c r="A21" s="8">
        <v>400</v>
      </c>
      <c r="B21" s="12" t="s">
        <v>917</v>
      </c>
      <c r="C21" s="12"/>
      <c r="D21" s="12"/>
      <c r="E21" s="19">
        <f>((E7*D7)+(E8*D8))/(D7+D8)</f>
        <v>7.6870000000000003E-3</v>
      </c>
      <c r="F21" s="19"/>
      <c r="G21" s="8">
        <f>A21</f>
        <v>400</v>
      </c>
    </row>
    <row r="22" spans="1:7">
      <c r="A22" s="8">
        <f>A21+1</f>
        <v>401</v>
      </c>
      <c r="B22" s="12" t="s">
        <v>141</v>
      </c>
      <c r="C22" s="12"/>
      <c r="D22" s="12"/>
      <c r="E22" s="19">
        <f>((E12*D12)+(E13*D13))/(D12+D13)</f>
        <v>2.0782341986441631E-4</v>
      </c>
      <c r="F22" s="19"/>
      <c r="G22" s="8">
        <f>A22</f>
        <v>401</v>
      </c>
    </row>
    <row r="23" spans="1:7">
      <c r="A23" s="8">
        <f>A22+1</f>
        <v>402</v>
      </c>
      <c r="B23" s="12" t="s">
        <v>160</v>
      </c>
      <c r="C23" s="12"/>
      <c r="D23" s="12"/>
      <c r="E23" s="19">
        <f>((E17*D17)+(E18*D18))/(D17+D18)</f>
        <v>3.5142409364145128E-3</v>
      </c>
      <c r="F23" s="19"/>
      <c r="G23" s="8">
        <f>A23</f>
        <v>402</v>
      </c>
    </row>
    <row r="28" spans="1:7">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61"/>
  <sheetViews>
    <sheetView tabSelected="1" view="pageBreakPreview" topLeftCell="A5" zoomScale="55" zoomScaleNormal="85" zoomScaleSheetLayoutView="55" zoomScalePageLayoutView="70" workbookViewId="0">
      <selection activeCell="P108" sqref="P108"/>
    </sheetView>
  </sheetViews>
  <sheetFormatPr defaultColWidth="9.1796875" defaultRowHeight="14.5"/>
  <cols>
    <col min="1" max="1" width="4.7265625" bestFit="1" customWidth="1"/>
    <col min="2" max="2" width="55.54296875" bestFit="1" customWidth="1"/>
    <col min="3" max="3" width="2.54296875" customWidth="1"/>
    <col min="4" max="4" width="16.453125" bestFit="1" customWidth="1"/>
    <col min="5" max="5" width="18.81640625" bestFit="1" customWidth="1"/>
    <col min="6" max="6" width="15.54296875" bestFit="1" customWidth="1"/>
    <col min="7" max="7" width="47.453125" customWidth="1"/>
    <col min="8" max="8" width="7.7265625" customWidth="1"/>
    <col min="9" max="9" width="4.7265625" bestFit="1" customWidth="1"/>
    <col min="10" max="10" width="13.7265625" bestFit="1" customWidth="1"/>
    <col min="11" max="11" width="9.1796875" customWidth="1"/>
  </cols>
  <sheetData>
    <row r="1" spans="1:9">
      <c r="B1" s="12" t="s">
        <v>937</v>
      </c>
      <c r="F1" s="15"/>
      <c r="H1" s="15" t="str">
        <f>CONCATENATE("Rate Year: ",'1-BaseTRR'!$F$1)</f>
        <v>Rate Year: 2024</v>
      </c>
    </row>
    <row r="2" spans="1:9">
      <c r="B2" s="117" t="s">
        <v>196</v>
      </c>
      <c r="F2" s="15"/>
      <c r="H2" s="15"/>
    </row>
    <row r="3" spans="1:9">
      <c r="D3" s="13" t="s">
        <v>100</v>
      </c>
      <c r="E3" s="13" t="s">
        <v>101</v>
      </c>
      <c r="F3" s="13" t="s">
        <v>102</v>
      </c>
    </row>
    <row r="4" spans="1:9">
      <c r="D4" s="8" t="s">
        <v>936</v>
      </c>
      <c r="E4" s="8" t="s">
        <v>935</v>
      </c>
    </row>
    <row r="5" spans="1:9">
      <c r="A5" s="13" t="s">
        <v>124</v>
      </c>
      <c r="B5" s="13"/>
      <c r="D5" s="168" t="s">
        <v>934</v>
      </c>
      <c r="E5" s="168" t="s">
        <v>934</v>
      </c>
      <c r="F5" s="168" t="s">
        <v>301</v>
      </c>
      <c r="G5" s="13"/>
      <c r="H5" s="13"/>
      <c r="I5" s="13" t="str">
        <f>A5</f>
        <v>Line</v>
      </c>
    </row>
    <row r="6" spans="1:9">
      <c r="A6" s="8">
        <v>1</v>
      </c>
      <c r="D6" s="65">
        <f>'24-Allocators'!$C$52</f>
        <v>0.36228987529975204</v>
      </c>
      <c r="E6" s="65">
        <f>'24-Allocators'!$C$53</f>
        <v>0.63771012470024802</v>
      </c>
      <c r="F6" t="s">
        <v>1286</v>
      </c>
      <c r="G6" s="13"/>
      <c r="H6" s="13"/>
      <c r="I6" s="8">
        <f>A6</f>
        <v>1</v>
      </c>
    </row>
    <row r="7" spans="1:9">
      <c r="A7" s="8"/>
      <c r="G7" s="13"/>
      <c r="H7" s="13"/>
      <c r="I7" s="8"/>
    </row>
    <row r="8" spans="1:9">
      <c r="A8" s="13"/>
      <c r="B8" s="52" t="s">
        <v>0</v>
      </c>
      <c r="C8" s="54"/>
      <c r="D8" s="54"/>
      <c r="E8" s="54"/>
      <c r="F8" s="54"/>
      <c r="G8" s="354"/>
      <c r="H8" s="354"/>
      <c r="I8" s="8"/>
    </row>
    <row r="9" spans="1:9">
      <c r="A9" s="13" t="s">
        <v>124</v>
      </c>
      <c r="B9" s="13" t="s">
        <v>129</v>
      </c>
      <c r="D9" s="13" t="s">
        <v>370</v>
      </c>
      <c r="E9" s="13" t="s">
        <v>371</v>
      </c>
      <c r="F9" s="13" t="s">
        <v>361</v>
      </c>
      <c r="G9" s="13" t="s">
        <v>301</v>
      </c>
      <c r="H9" s="13" t="s">
        <v>11</v>
      </c>
      <c r="I9" s="13" t="s">
        <v>124</v>
      </c>
    </row>
    <row r="10" spans="1:9">
      <c r="A10" s="8"/>
      <c r="B10" s="11" t="s">
        <v>4</v>
      </c>
      <c r="C10" s="11"/>
      <c r="D10" s="376"/>
      <c r="E10" s="376"/>
      <c r="F10" s="376"/>
      <c r="I10" s="8"/>
    </row>
    <row r="11" spans="1:9">
      <c r="A11" s="8">
        <v>100</v>
      </c>
      <c r="B11" t="s">
        <v>1</v>
      </c>
      <c r="D11" s="32">
        <f>'7-PlantInService'!P49</f>
        <v>5366128911.051445</v>
      </c>
      <c r="E11" s="32">
        <f>'7-PlantInService'!P74</f>
        <v>10292526380.037006</v>
      </c>
      <c r="F11" s="32">
        <f>SUM(D11:E11)</f>
        <v>15658655291.088451</v>
      </c>
      <c r="G11" t="s">
        <v>1100</v>
      </c>
      <c r="I11" s="8">
        <f>A11</f>
        <v>100</v>
      </c>
    </row>
    <row r="12" spans="1:9">
      <c r="A12" s="8">
        <f>A11+1</f>
        <v>101</v>
      </c>
      <c r="B12" t="s">
        <v>2</v>
      </c>
      <c r="D12" s="32">
        <f>'7-PlantInService'!E128</f>
        <v>492290830.86311615</v>
      </c>
      <c r="E12" s="32">
        <f>'7-PlantInService'!F128</f>
        <v>974355235.46159589</v>
      </c>
      <c r="F12" s="32">
        <f>SUM(D12:E12)</f>
        <v>1466646066.324712</v>
      </c>
      <c r="G12" t="s">
        <v>1101</v>
      </c>
      <c r="I12" s="8">
        <f>A12</f>
        <v>101</v>
      </c>
    </row>
    <row r="13" spans="1:9">
      <c r="A13" s="8">
        <f>A12+1</f>
        <v>102</v>
      </c>
      <c r="B13" t="s">
        <v>3</v>
      </c>
      <c r="D13" s="26">
        <f ca="1">'8-AbandonedPlant'!M12</f>
        <v>0</v>
      </c>
      <c r="E13" s="26">
        <f ca="1">'8-AbandonedPlant'!M13</f>
        <v>0</v>
      </c>
      <c r="F13" s="26">
        <f ca="1">SUM(D13:E13)</f>
        <v>0</v>
      </c>
      <c r="G13" t="s">
        <v>1485</v>
      </c>
      <c r="I13" s="8">
        <f>A13</f>
        <v>102</v>
      </c>
    </row>
    <row r="14" spans="1:9">
      <c r="A14" s="8">
        <f>A13+1</f>
        <v>103</v>
      </c>
      <c r="B14" s="12" t="s">
        <v>12</v>
      </c>
      <c r="C14" s="12"/>
      <c r="D14" s="68">
        <f ca="1">SUM(D11:D13)</f>
        <v>5858419741.9145613</v>
      </c>
      <c r="E14" s="68">
        <f ca="1">SUM(E11:E13)</f>
        <v>11266881615.498602</v>
      </c>
      <c r="F14" s="68">
        <f ca="1">SUM(F11:F13)</f>
        <v>17125301357.413164</v>
      </c>
      <c r="G14" s="6" t="str">
        <f>"Sum of Lines "&amp;A11&amp;" to "&amp;A13&amp;""</f>
        <v>Sum of Lines 100 to 102</v>
      </c>
      <c r="H14" s="6"/>
      <c r="I14" s="8">
        <f>A14</f>
        <v>103</v>
      </c>
    </row>
    <row r="15" spans="1:9">
      <c r="A15" s="8"/>
      <c r="D15" s="33"/>
      <c r="E15" s="33"/>
      <c r="F15" s="33"/>
      <c r="I15" s="8"/>
    </row>
    <row r="16" spans="1:9">
      <c r="A16" s="8"/>
      <c r="B16" s="11" t="s">
        <v>5</v>
      </c>
      <c r="C16" s="11"/>
      <c r="D16" s="33"/>
      <c r="E16" s="33"/>
      <c r="F16" s="33"/>
      <c r="I16" s="8"/>
    </row>
    <row r="17" spans="1:9">
      <c r="A17" s="8">
        <f>A14+1</f>
        <v>104</v>
      </c>
      <c r="B17" t="s">
        <v>6</v>
      </c>
      <c r="D17" s="32">
        <f>'13-WorkCap'!F25</f>
        <v>36813315.60725645</v>
      </c>
      <c r="E17" s="32">
        <f>'13-WorkCap'!G25</f>
        <v>70609936.567862406</v>
      </c>
      <c r="F17" s="32">
        <f>SUM(D17:E17)</f>
        <v>107423252.17511886</v>
      </c>
      <c r="G17" t="s">
        <v>1102</v>
      </c>
      <c r="I17" s="8">
        <f>A17</f>
        <v>104</v>
      </c>
    </row>
    <row r="18" spans="1:9">
      <c r="A18" s="8">
        <f>A17+1</f>
        <v>105</v>
      </c>
      <c r="B18" t="s">
        <v>144</v>
      </c>
      <c r="D18" s="32">
        <f>'13-WorkCap'!$F$60*D6</f>
        <v>23276075.658820074</v>
      </c>
      <c r="E18" s="32">
        <f>'13-WorkCap'!$F$60*E6</f>
        <v>40971029.34117993</v>
      </c>
      <c r="F18" s="32">
        <f>SUM(D18:E18)</f>
        <v>64247105</v>
      </c>
      <c r="G18" t="s">
        <v>1103</v>
      </c>
      <c r="I18" s="8">
        <f>A18</f>
        <v>105</v>
      </c>
    </row>
    <row r="19" spans="1:9">
      <c r="A19" s="8">
        <f>A18+1</f>
        <v>106</v>
      </c>
      <c r="B19" t="s">
        <v>7</v>
      </c>
      <c r="D19" s="26">
        <f>(D36+D37)/10</f>
        <v>34295956.78015618</v>
      </c>
      <c r="E19" s="26">
        <f>(E36+E37)/10</f>
        <v>60143964.04234346</v>
      </c>
      <c r="F19" s="26">
        <f>SUM(D19:E19)</f>
        <v>94439920.822499633</v>
      </c>
      <c r="G19" t="str">
        <f>"(Line "&amp;A36&amp;" + Line "&amp;A37&amp;") / 10"</f>
        <v>(Line 200 + Line 201) / 10</v>
      </c>
      <c r="I19" s="8">
        <f>A19</f>
        <v>106</v>
      </c>
    </row>
    <row r="20" spans="1:9">
      <c r="A20" s="8">
        <f>A19+1</f>
        <v>107</v>
      </c>
      <c r="B20" s="12" t="s">
        <v>13</v>
      </c>
      <c r="C20" s="12"/>
      <c r="D20" s="68">
        <f>SUM(D17:D19)</f>
        <v>94385348.0462327</v>
      </c>
      <c r="E20" s="68">
        <f>SUM(E17:E19)</f>
        <v>171724929.9513858</v>
      </c>
      <c r="F20" s="68">
        <f>SUM(F17:F19)</f>
        <v>266110277.9976185</v>
      </c>
      <c r="G20" s="6" t="str">
        <f>"Sum of Lines "&amp;A17&amp;" to "&amp;A19&amp;""</f>
        <v>Sum of Lines 104 to 106</v>
      </c>
      <c r="H20" s="6"/>
      <c r="I20" s="8">
        <f>A20</f>
        <v>107</v>
      </c>
    </row>
    <row r="21" spans="1:9">
      <c r="A21" s="8"/>
      <c r="D21" s="33"/>
      <c r="E21" s="33"/>
      <c r="F21" s="33"/>
      <c r="I21" s="8"/>
    </row>
    <row r="22" spans="1:9">
      <c r="A22" s="8"/>
      <c r="B22" s="11" t="s">
        <v>9</v>
      </c>
      <c r="C22" s="11"/>
      <c r="D22" s="33"/>
      <c r="E22" s="33"/>
      <c r="F22" s="33"/>
      <c r="I22" s="8"/>
    </row>
    <row r="23" spans="1:9">
      <c r="A23" s="8">
        <f>A20+1</f>
        <v>108</v>
      </c>
      <c r="B23" t="s">
        <v>8</v>
      </c>
      <c r="D23" s="32">
        <f>-'10-AccDep'!P51</f>
        <v>-1335108848.002737</v>
      </c>
      <c r="E23" s="32">
        <f>-'10-AccDep'!P76</f>
        <v>-2339443379.2889447</v>
      </c>
      <c r="F23" s="32">
        <f>SUM(D23:E23)</f>
        <v>-3674552227.2916818</v>
      </c>
      <c r="G23" t="s">
        <v>1105</v>
      </c>
      <c r="I23" s="8">
        <f>A23</f>
        <v>108</v>
      </c>
    </row>
    <row r="24" spans="1:9">
      <c r="A24" s="8">
        <f>A23+1</f>
        <v>109</v>
      </c>
      <c r="B24" t="s">
        <v>17</v>
      </c>
      <c r="D24" s="26">
        <f>-'10-AccDep'!E128</f>
        <v>-182655892.50871676</v>
      </c>
      <c r="E24" s="26">
        <f>-'10-AccDep'!F128</f>
        <v>-341960382.97890395</v>
      </c>
      <c r="F24" s="26">
        <f>SUM(D24:E24)</f>
        <v>-524616275.48762071</v>
      </c>
      <c r="G24" t="s">
        <v>1104</v>
      </c>
      <c r="I24" s="8">
        <f>A24</f>
        <v>109</v>
      </c>
    </row>
    <row r="25" spans="1:9">
      <c r="A25" s="8">
        <f>A24+1</f>
        <v>110</v>
      </c>
      <c r="B25" s="12" t="s">
        <v>14</v>
      </c>
      <c r="C25" s="12"/>
      <c r="D25" s="68">
        <f>+D23+D24</f>
        <v>-1517764740.5114539</v>
      </c>
      <c r="E25" s="68">
        <f>+E23+E24</f>
        <v>-2681403762.2678485</v>
      </c>
      <c r="F25" s="68">
        <f>+F23+F24</f>
        <v>-4199168502.7793026</v>
      </c>
      <c r="G25" t="str">
        <f>"Line "&amp;A23&amp;" + Line "&amp;A24&amp;""</f>
        <v>Line 108 + Line 109</v>
      </c>
      <c r="I25" s="8">
        <f>A25</f>
        <v>110</v>
      </c>
    </row>
    <row r="26" spans="1:9">
      <c r="A26" s="8"/>
      <c r="D26" s="33"/>
      <c r="E26" s="33"/>
      <c r="F26" s="33"/>
      <c r="I26" s="8"/>
    </row>
    <row r="27" spans="1:9">
      <c r="A27" s="8">
        <f>A25+1</f>
        <v>111</v>
      </c>
      <c r="B27" s="14" t="s">
        <v>10</v>
      </c>
      <c r="C27" s="14"/>
      <c r="D27" s="32">
        <f>'1-BaseTRR'!D25*$D$6</f>
        <v>-753486807.42553961</v>
      </c>
      <c r="E27" s="32">
        <f>'1-BaseTRR'!D25*$E$6</f>
        <v>-1326303048.1483111</v>
      </c>
      <c r="F27" s="32">
        <f>SUM(D27:E27)</f>
        <v>-2079789855.5738506</v>
      </c>
      <c r="G27" t="s">
        <v>1581</v>
      </c>
      <c r="I27" s="8">
        <f>A27</f>
        <v>111</v>
      </c>
    </row>
    <row r="28" spans="1:9">
      <c r="A28" s="8">
        <f>A27+1</f>
        <v>112</v>
      </c>
      <c r="B28" s="12" t="s">
        <v>15</v>
      </c>
      <c r="C28" s="12"/>
      <c r="D28" s="32">
        <f>'1-BaseTRR'!D26*$D$6</f>
        <v>-57654718.237237081</v>
      </c>
      <c r="E28" s="32">
        <f>'1-BaseTRR'!D26*$E$6</f>
        <v>-101485026.39276291</v>
      </c>
      <c r="F28" s="32">
        <f>SUM(D28:E28)</f>
        <v>-159139744.63</v>
      </c>
      <c r="G28" t="s">
        <v>1106</v>
      </c>
      <c r="I28" s="8">
        <f>A28</f>
        <v>112</v>
      </c>
    </row>
    <row r="29" spans="1:9">
      <c r="A29" s="8">
        <f>A28+1</f>
        <v>113</v>
      </c>
      <c r="B29" s="12" t="s">
        <v>149</v>
      </c>
      <c r="C29" s="12"/>
      <c r="D29" s="32">
        <f>'1-BaseTRR'!D27*$D$6</f>
        <v>-47566214.310175836</v>
      </c>
      <c r="E29" s="32">
        <f>'1-BaseTRR'!D27*$E$6</f>
        <v>-83727033.315969989</v>
      </c>
      <c r="F29" s="32">
        <f>SUM(D29:E29)</f>
        <v>-131293247.62614582</v>
      </c>
      <c r="G29" t="s">
        <v>1107</v>
      </c>
      <c r="I29" s="8">
        <f>A29</f>
        <v>113</v>
      </c>
    </row>
    <row r="30" spans="1:9">
      <c r="A30" s="8">
        <f>A29+1</f>
        <v>114</v>
      </c>
      <c r="B30" s="12" t="s">
        <v>16</v>
      </c>
      <c r="C30" s="12"/>
      <c r="D30" s="32">
        <f>'1-BaseTRR'!D28*$D$6</f>
        <v>0</v>
      </c>
      <c r="E30" s="32">
        <f>'1-BaseTRR'!D28*$E$6</f>
        <v>0</v>
      </c>
      <c r="F30" s="32">
        <f>SUM(D30:E30)</f>
        <v>0</v>
      </c>
      <c r="G30" t="s">
        <v>1108</v>
      </c>
      <c r="I30" s="8">
        <f>A30</f>
        <v>114</v>
      </c>
    </row>
    <row r="31" spans="1:9">
      <c r="A31" s="8"/>
      <c r="D31" s="33"/>
      <c r="E31" s="33"/>
      <c r="F31" s="33"/>
      <c r="I31" s="8"/>
    </row>
    <row r="32" spans="1:9">
      <c r="A32" s="8">
        <f>A30+1</f>
        <v>115</v>
      </c>
      <c r="B32" s="12" t="s">
        <v>0</v>
      </c>
      <c r="C32" s="12"/>
      <c r="D32" s="68">
        <f ca="1">+D14+D20+D25+D27+D28+D30+D29</f>
        <v>3576332609.4763885</v>
      </c>
      <c r="E32" s="68">
        <f ca="1">+E14+E20+E25+E27+E28+E30+E29</f>
        <v>7245687675.3250933</v>
      </c>
      <c r="F32" s="68">
        <f ca="1">+F14+F20+F25+F27+F28+F30+F29</f>
        <v>10822020284.801483</v>
      </c>
      <c r="G32" t="str">
        <f>"Sum of Lines "&amp;A14&amp;", "&amp;A20&amp;", "&amp;A25&amp;" and Lines "&amp;A27&amp;" to "&amp;A30&amp;""</f>
        <v>Sum of Lines 103, 107, 110 and Lines 111 to 114</v>
      </c>
      <c r="I32" s="8">
        <f>A32</f>
        <v>115</v>
      </c>
    </row>
    <row r="33" spans="1:11">
      <c r="A33" s="8"/>
      <c r="B33" s="12"/>
      <c r="C33" s="12"/>
      <c r="D33" s="22"/>
      <c r="E33" s="22"/>
      <c r="F33" s="22"/>
      <c r="I33" s="8"/>
    </row>
    <row r="34" spans="1:11">
      <c r="A34" s="13"/>
      <c r="B34" s="52" t="s">
        <v>933</v>
      </c>
      <c r="C34" s="54"/>
      <c r="D34" s="54"/>
      <c r="E34" s="54"/>
      <c r="F34" s="54"/>
      <c r="G34" s="354"/>
      <c r="H34" s="354"/>
      <c r="I34" s="8"/>
    </row>
    <row r="35" spans="1:11">
      <c r="A35" s="13" t="s">
        <v>124</v>
      </c>
      <c r="B35" s="13" t="s">
        <v>129</v>
      </c>
      <c r="D35" s="13" t="s">
        <v>370</v>
      </c>
      <c r="E35" s="13" t="s">
        <v>371</v>
      </c>
      <c r="F35" s="13" t="s">
        <v>361</v>
      </c>
      <c r="G35" s="13" t="s">
        <v>301</v>
      </c>
      <c r="H35" s="13" t="s">
        <v>11</v>
      </c>
      <c r="I35" s="13" t="s">
        <v>124</v>
      </c>
    </row>
    <row r="36" spans="1:11" ht="43.5">
      <c r="A36" s="8">
        <v>200</v>
      </c>
      <c r="B36" t="s">
        <v>66</v>
      </c>
      <c r="D36" s="32">
        <f>D6*('18-OandM'!P10-'18-OandM'!P24)+'18-OandM'!P24</f>
        <v>230128375.0025017</v>
      </c>
      <c r="E36" s="32">
        <f>E6*('18-OandM'!P10-'18-OandM'!P24)</f>
        <v>402831843.36470288</v>
      </c>
      <c r="F36" s="32">
        <f t="shared" ref="F36:F48" si="0">SUM(D36:E36)</f>
        <v>632960218.36720455</v>
      </c>
      <c r="G36" s="44" t="s">
        <v>1121</v>
      </c>
      <c r="H36" s="44"/>
      <c r="I36" s="8">
        <f t="shared" ref="I36:I48" si="1">A36</f>
        <v>200</v>
      </c>
      <c r="J36" s="33"/>
    </row>
    <row r="37" spans="1:11">
      <c r="A37" s="8">
        <f t="shared" ref="A37:A48" si="2">A36+1</f>
        <v>201</v>
      </c>
      <c r="B37" t="s">
        <v>67</v>
      </c>
      <c r="D37" s="32">
        <f>D6*'1-BaseTRR'!D126</f>
        <v>112831192.79906017</v>
      </c>
      <c r="E37" s="32">
        <f>E6*'1-BaseTRR'!D126</f>
        <v>198607797.05873176</v>
      </c>
      <c r="F37" s="32">
        <f t="shared" si="0"/>
        <v>311438989.8577919</v>
      </c>
      <c r="G37" t="s">
        <v>1109</v>
      </c>
      <c r="I37" s="8">
        <f t="shared" si="1"/>
        <v>201</v>
      </c>
      <c r="J37" s="33"/>
    </row>
    <row r="38" spans="1:11">
      <c r="A38" s="8">
        <f t="shared" si="2"/>
        <v>202</v>
      </c>
      <c r="B38" t="s">
        <v>68</v>
      </c>
      <c r="D38" s="32">
        <f>D6*'1-BaseTRR'!D127</f>
        <v>632324.19894668355</v>
      </c>
      <c r="E38" s="32">
        <f>E6*'1-BaseTRR'!D127</f>
        <v>1113030.1210533166</v>
      </c>
      <c r="F38" s="32">
        <f t="shared" si="0"/>
        <v>1745354.3200000003</v>
      </c>
      <c r="G38" t="s">
        <v>1110</v>
      </c>
      <c r="I38" s="8">
        <f t="shared" si="1"/>
        <v>202</v>
      </c>
      <c r="J38" s="33"/>
    </row>
    <row r="39" spans="1:11" ht="29">
      <c r="A39" s="8">
        <f t="shared" si="2"/>
        <v>203</v>
      </c>
      <c r="B39" t="s">
        <v>142</v>
      </c>
      <c r="D39" s="32">
        <f>'11-Depreciation'!O13+'11-Depreciation'!D61</f>
        <v>176946222.89198396</v>
      </c>
      <c r="E39" s="32">
        <f>'11-Depreciation'!O14+'11-Depreciation'!E61</f>
        <v>360091452.50850856</v>
      </c>
      <c r="F39" s="32">
        <f t="shared" si="0"/>
        <v>537037675.40049255</v>
      </c>
      <c r="G39" s="44" t="s">
        <v>1120</v>
      </c>
      <c r="H39" s="44"/>
      <c r="I39" s="8">
        <f t="shared" si="1"/>
        <v>203</v>
      </c>
      <c r="J39" s="28"/>
      <c r="K39" s="31"/>
    </row>
    <row r="40" spans="1:11">
      <c r="A40" s="8">
        <f t="shared" si="2"/>
        <v>204</v>
      </c>
      <c r="B40" s="17" t="s">
        <v>932</v>
      </c>
      <c r="D40" s="32">
        <f>D6*'1-BaseTRR'!$D$129</f>
        <v>385340.89536987996</v>
      </c>
      <c r="E40" s="32">
        <f>E6*'1-BaseTRR'!$D$129</f>
        <v>678285.00654376298</v>
      </c>
      <c r="F40" s="32">
        <f t="shared" si="0"/>
        <v>1063625.9019136429</v>
      </c>
      <c r="G40" t="s">
        <v>1111</v>
      </c>
      <c r="I40" s="8">
        <f t="shared" si="1"/>
        <v>204</v>
      </c>
      <c r="J40" s="28"/>
      <c r="K40" s="31"/>
    </row>
    <row r="41" spans="1:11">
      <c r="A41" s="8">
        <f t="shared" si="2"/>
        <v>205</v>
      </c>
      <c r="B41" t="s">
        <v>69</v>
      </c>
      <c r="D41" s="32">
        <f ca="1">'8-AbandonedPlant'!I12</f>
        <v>0</v>
      </c>
      <c r="E41" s="32">
        <f ca="1">'8-AbandonedPlant'!I13</f>
        <v>0</v>
      </c>
      <c r="F41" s="32">
        <f t="shared" ca="1" si="0"/>
        <v>0</v>
      </c>
      <c r="G41" t="s">
        <v>1486</v>
      </c>
      <c r="I41" s="8">
        <f t="shared" si="1"/>
        <v>205</v>
      </c>
      <c r="J41" s="33"/>
    </row>
    <row r="42" spans="1:11" ht="29">
      <c r="A42" s="8">
        <f t="shared" si="2"/>
        <v>206</v>
      </c>
      <c r="B42" t="s">
        <v>71</v>
      </c>
      <c r="D42" s="32">
        <f ca="1">D32*'1-BaseTRR'!$D$66-('1-BaseTRR'!D69*'8-AbandonedPlant'!M12)</f>
        <v>257017820.63563398</v>
      </c>
      <c r="E42" s="32">
        <f ca="1">E32*'1-BaseTRR'!$D$66-('1-BaseTRR'!D69*'8-AbandonedPlant'!M13)</f>
        <v>520720821.76696199</v>
      </c>
      <c r="F42" s="32">
        <f t="shared" ca="1" si="0"/>
        <v>777738642.402596</v>
      </c>
      <c r="G42" s="44" t="s">
        <v>1465</v>
      </c>
      <c r="I42" s="8">
        <f t="shared" si="1"/>
        <v>206</v>
      </c>
      <c r="J42" s="33"/>
    </row>
    <row r="43" spans="1:11">
      <c r="A43" s="8">
        <f t="shared" si="2"/>
        <v>207</v>
      </c>
      <c r="B43" t="s">
        <v>18</v>
      </c>
      <c r="D43" s="32">
        <f>$D$6*'1-BaseTRR'!D132</f>
        <v>52518916.290479414</v>
      </c>
      <c r="E43" s="32">
        <f>$E$6*'1-BaseTRR'!D132</f>
        <v>92444881.682141885</v>
      </c>
      <c r="F43" s="32">
        <f t="shared" si="0"/>
        <v>144963797.97262129</v>
      </c>
      <c r="G43" t="s">
        <v>1112</v>
      </c>
      <c r="I43" s="8">
        <f t="shared" si="1"/>
        <v>207</v>
      </c>
      <c r="J43" s="33"/>
    </row>
    <row r="44" spans="1:11">
      <c r="A44" s="8">
        <f t="shared" si="2"/>
        <v>208</v>
      </c>
      <c r="B44" t="s">
        <v>55</v>
      </c>
      <c r="D44" s="32">
        <f ca="1">$D$6*'1-BaseTRR'!D133</f>
        <v>70183021.769529045</v>
      </c>
      <c r="E44" s="32">
        <f ca="1">$E$6*'1-BaseTRR'!D133</f>
        <v>123537605.14962208</v>
      </c>
      <c r="F44" s="32">
        <f t="shared" ca="1" si="0"/>
        <v>193720626.91915113</v>
      </c>
      <c r="G44" t="s">
        <v>1113</v>
      </c>
      <c r="I44" s="8">
        <f t="shared" si="1"/>
        <v>208</v>
      </c>
      <c r="J44" s="33"/>
    </row>
    <row r="45" spans="1:11">
      <c r="A45" s="8">
        <f t="shared" si="2"/>
        <v>209</v>
      </c>
      <c r="B45" t="s">
        <v>70</v>
      </c>
      <c r="C45" s="333"/>
      <c r="D45" s="32">
        <f>-'20-RevenueCredits'!F10</f>
        <v>-8798136.9227079917</v>
      </c>
      <c r="E45" s="32">
        <f>-'20-RevenueCredits'!G10</f>
        <v>-5808351.8970920127</v>
      </c>
      <c r="F45" s="32">
        <f t="shared" si="0"/>
        <v>-14606488.819800004</v>
      </c>
      <c r="G45" t="s">
        <v>1487</v>
      </c>
      <c r="I45" s="8">
        <f t="shared" si="1"/>
        <v>209</v>
      </c>
      <c r="J45" s="33"/>
    </row>
    <row r="46" spans="1:11">
      <c r="A46" s="8">
        <f t="shared" si="2"/>
        <v>210</v>
      </c>
      <c r="B46" t="s">
        <v>132</v>
      </c>
      <c r="D46" s="32">
        <f>$D$6*'1-BaseTRR'!D135</f>
        <v>-7195293.0786696775</v>
      </c>
      <c r="E46" s="32">
        <f>$E$6*'1-BaseTRR'!D135</f>
        <v>-12665303.557425724</v>
      </c>
      <c r="F46" s="32">
        <f t="shared" si="0"/>
        <v>-19860596.636095401</v>
      </c>
      <c r="G46" t="s">
        <v>1114</v>
      </c>
      <c r="I46" s="8">
        <f t="shared" si="1"/>
        <v>210</v>
      </c>
      <c r="J46" s="33"/>
    </row>
    <row r="47" spans="1:11">
      <c r="A47" s="8">
        <f t="shared" si="2"/>
        <v>211</v>
      </c>
      <c r="B47" t="s">
        <v>72</v>
      </c>
      <c r="D47" s="26">
        <f>$D$6*'1-BaseTRR'!D136</f>
        <v>0</v>
      </c>
      <c r="E47" s="26">
        <f>$E$6*'1-BaseTRR'!D136</f>
        <v>0</v>
      </c>
      <c r="F47" s="26">
        <f t="shared" si="0"/>
        <v>0</v>
      </c>
      <c r="G47" t="s">
        <v>1115</v>
      </c>
      <c r="I47" s="8">
        <f t="shared" si="1"/>
        <v>211</v>
      </c>
      <c r="J47" s="33"/>
    </row>
    <row r="48" spans="1:11">
      <c r="A48" s="8">
        <f t="shared" si="2"/>
        <v>212</v>
      </c>
      <c r="B48" s="12" t="s">
        <v>79</v>
      </c>
      <c r="D48" s="68">
        <f ca="1">SUM(D36:D47)</f>
        <v>884649784.48212707</v>
      </c>
      <c r="E48" s="68">
        <f ca="1">SUM(E36:E47)</f>
        <v>1681552061.2037482</v>
      </c>
      <c r="F48" s="68">
        <f t="shared" ca="1" si="0"/>
        <v>2566201845.6858754</v>
      </c>
      <c r="G48" t="str">
        <f>"Sum of Lines "&amp;A36&amp;" to Line "&amp;A47&amp;""</f>
        <v>Sum of Lines 200 to Line 211</v>
      </c>
      <c r="I48" s="8">
        <f t="shared" si="1"/>
        <v>212</v>
      </c>
      <c r="J48" s="33"/>
    </row>
    <row r="49" spans="1:9">
      <c r="A49" s="8"/>
      <c r="I49" s="8"/>
    </row>
    <row r="50" spans="1:9">
      <c r="A50" s="8">
        <f>A48+1</f>
        <v>213</v>
      </c>
      <c r="B50" s="12" t="s">
        <v>147</v>
      </c>
      <c r="D50" s="32">
        <f ca="1">D48*('1-BaseTRR'!$D$140+'1-BaseTRR'!$D$141)</f>
        <v>6984153.8369075051</v>
      </c>
      <c r="E50" s="32">
        <f ca="1">E48*('1-BaseTRR'!$D$140+'1-BaseTRR'!$D$141)</f>
        <v>13275556.594512634</v>
      </c>
      <c r="F50" s="32">
        <f ca="1">SUM(D50:E50)</f>
        <v>20259710.43142014</v>
      </c>
      <c r="G50" t="s">
        <v>1116</v>
      </c>
      <c r="I50" s="8">
        <f>A50</f>
        <v>213</v>
      </c>
    </row>
    <row r="51" spans="1:9">
      <c r="A51" s="8"/>
      <c r="D51" s="33"/>
      <c r="E51" s="33"/>
      <c r="F51" s="33"/>
      <c r="I51" s="8"/>
    </row>
    <row r="52" spans="1:9">
      <c r="A52" s="8">
        <f>A50+1</f>
        <v>214</v>
      </c>
      <c r="B52" t="s">
        <v>150</v>
      </c>
      <c r="D52" s="32">
        <f ca="1">D6*'1-BaseTRR'!$D$149</f>
        <v>114309954.2490257</v>
      </c>
      <c r="E52" s="32">
        <f ca="1">E6*'1-BaseTRR'!$D$149</f>
        <v>201210743.51943314</v>
      </c>
      <c r="F52" s="32">
        <f ca="1">SUM(D52:E52)</f>
        <v>315520697.76845884</v>
      </c>
      <c r="G52" t="s">
        <v>1117</v>
      </c>
      <c r="I52" s="8">
        <f>A52</f>
        <v>214</v>
      </c>
    </row>
    <row r="53" spans="1:9">
      <c r="A53" s="8">
        <f>A52+1</f>
        <v>215</v>
      </c>
      <c r="B53" t="s">
        <v>931</v>
      </c>
      <c r="D53" s="26">
        <f>D6*'1-BaseTRR'!$D$150</f>
        <v>-63414691.879891299</v>
      </c>
      <c r="E53" s="26">
        <f>E6*'1-BaseTRR'!$D$150</f>
        <v>-111623851.02010871</v>
      </c>
      <c r="F53" s="26">
        <f>SUM(D53:E53)</f>
        <v>-175038542.90000001</v>
      </c>
      <c r="G53" t="s">
        <v>1118</v>
      </c>
      <c r="I53" s="8">
        <f>A53</f>
        <v>215</v>
      </c>
    </row>
    <row r="54" spans="1:9">
      <c r="A54" s="8"/>
      <c r="D54" s="33"/>
      <c r="E54" s="33"/>
      <c r="F54" s="33"/>
      <c r="I54" s="8"/>
    </row>
    <row r="55" spans="1:9">
      <c r="A55" s="8">
        <f>A53+1</f>
        <v>216</v>
      </c>
      <c r="B55" s="12" t="s">
        <v>930</v>
      </c>
      <c r="D55" s="68">
        <f ca="1">ROUND(SUM(D48:D53),2)</f>
        <v>942529200.69000006</v>
      </c>
      <c r="E55" s="68">
        <f ca="1">ROUND(SUM(E48:E53),2)</f>
        <v>1784414510.3</v>
      </c>
      <c r="F55" s="68">
        <f ca="1">SUM(D55:E55)</f>
        <v>2726943710.9899998</v>
      </c>
      <c r="G55" t="str">
        <f>"Sum of Lines "&amp;A48&amp;" to Line "&amp;A53&amp;""</f>
        <v>Sum of Lines 212 to Line 215</v>
      </c>
      <c r="I55" s="8">
        <f>A55</f>
        <v>216</v>
      </c>
    </row>
    <row r="56" spans="1:9">
      <c r="A56" s="8">
        <f>A55+1</f>
        <v>217</v>
      </c>
      <c r="B56" s="12" t="s">
        <v>929</v>
      </c>
      <c r="D56" s="51">
        <v>-286211944</v>
      </c>
      <c r="E56" s="51">
        <v>-131125662</v>
      </c>
      <c r="F56" s="32">
        <f>SUM(D56:E56)</f>
        <v>-417337606</v>
      </c>
      <c r="G56" s="375" t="s">
        <v>2024</v>
      </c>
      <c r="H56" s="154"/>
      <c r="I56" s="8">
        <f>A56</f>
        <v>217</v>
      </c>
    </row>
    <row r="57" spans="1:9">
      <c r="A57" s="8">
        <f>A56+1</f>
        <v>218</v>
      </c>
      <c r="B57" s="12" t="s">
        <v>928</v>
      </c>
      <c r="D57" s="26">
        <f ca="1">-ROUND(D6*'29-RetailRates-1'!F47*0.5,2)</f>
        <v>-3405968.72</v>
      </c>
      <c r="E57" s="26">
        <f ca="1">-ROUND(E6*'29-RetailRates-1'!F47*0.5,2)</f>
        <v>-5995256.5099999998</v>
      </c>
      <c r="F57" s="26">
        <f ca="1">SUM(D57:E57)</f>
        <v>-9401225.2300000004</v>
      </c>
      <c r="G57" t="s">
        <v>1119</v>
      </c>
      <c r="I57" s="8">
        <f>A57</f>
        <v>218</v>
      </c>
    </row>
    <row r="58" spans="1:9">
      <c r="A58" s="8"/>
      <c r="D58" s="33"/>
      <c r="E58" s="33"/>
      <c r="F58" s="33"/>
      <c r="I58" s="8"/>
    </row>
    <row r="59" spans="1:9">
      <c r="A59" s="8">
        <f>A57+1</f>
        <v>219</v>
      </c>
      <c r="B59" s="12" t="s">
        <v>927</v>
      </c>
      <c r="D59" s="555">
        <f ca="1">ROUND(D57+D56+D55,2)</f>
        <v>652911287.97000003</v>
      </c>
      <c r="E59" s="555">
        <f ca="1">ROUND(E57+E56+E55,2)</f>
        <v>1647293591.79</v>
      </c>
      <c r="F59" s="555">
        <f ca="1">ROUND(F57+F56+F55,2)</f>
        <v>2300204879.7600002</v>
      </c>
      <c r="G59" t="str">
        <f>"Sum of Lines "&amp;A55&amp;" to Line "&amp;A57&amp;""</f>
        <v>Sum of Lines 216 to Line 218</v>
      </c>
      <c r="I59" s="8">
        <f>A59</f>
        <v>219</v>
      </c>
    </row>
    <row r="61" spans="1:9">
      <c r="B61" s="16"/>
    </row>
  </sheetData>
  <printOptions horizontalCentered="1"/>
  <pageMargins left="1" right="1" top="1" bottom="1" header="0.5" footer="0.5"/>
  <pageSetup scale="66"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F28"/>
  <sheetViews>
    <sheetView tabSelected="1" view="pageBreakPreview" zoomScale="55" zoomScaleSheetLayoutView="55" workbookViewId="0">
      <selection activeCell="P108" sqref="P108"/>
    </sheetView>
  </sheetViews>
  <sheetFormatPr defaultColWidth="9.1796875" defaultRowHeight="14.5"/>
  <cols>
    <col min="1" max="1" width="4.7265625" bestFit="1" customWidth="1"/>
    <col min="2" max="2" width="38.54296875" bestFit="1" customWidth="1"/>
    <col min="3" max="3" width="15.7265625" bestFit="1" customWidth="1"/>
    <col min="4" max="4" width="25" bestFit="1" customWidth="1"/>
    <col min="5" max="5" width="9.81640625" bestFit="1" customWidth="1"/>
    <col min="6" max="6" width="4.7265625" bestFit="1" customWidth="1"/>
  </cols>
  <sheetData>
    <row r="1" spans="1:6">
      <c r="B1" s="12" t="s">
        <v>945</v>
      </c>
      <c r="E1" s="15" t="str">
        <f>CONCATENATE("Rate Year: ",'1-BaseTRR'!$F$1)</f>
        <v>Rate Year: 2024</v>
      </c>
    </row>
    <row r="3" spans="1:6">
      <c r="A3" s="13" t="s">
        <v>124</v>
      </c>
      <c r="B3" s="13" t="s">
        <v>129</v>
      </c>
      <c r="C3" s="13" t="s">
        <v>80</v>
      </c>
      <c r="D3" s="13" t="s">
        <v>54</v>
      </c>
      <c r="E3" s="13" t="s">
        <v>11</v>
      </c>
      <c r="F3" s="13" t="str">
        <f>A3</f>
        <v>Line</v>
      </c>
    </row>
    <row r="4" spans="1:6">
      <c r="B4" s="57" t="s">
        <v>944</v>
      </c>
      <c r="C4" s="54"/>
      <c r="D4" s="54"/>
      <c r="E4" s="54"/>
    </row>
    <row r="5" spans="1:6">
      <c r="A5" s="8">
        <v>100</v>
      </c>
      <c r="B5" t="s">
        <v>943</v>
      </c>
      <c r="C5" s="333">
        <f ca="1">'26-WholesaleTRRs'!D59</f>
        <v>652911287.97000003</v>
      </c>
      <c r="D5" s="337" t="s">
        <v>1448</v>
      </c>
      <c r="F5" s="8">
        <f>A5</f>
        <v>100</v>
      </c>
    </row>
    <row r="6" spans="1:6">
      <c r="A6" s="8">
        <f>A5+1</f>
        <v>101</v>
      </c>
      <c r="B6" t="s">
        <v>939</v>
      </c>
      <c r="C6" s="21">
        <f>'28-GrossLoad'!$C$12/1000</f>
        <v>90745267.60060446</v>
      </c>
      <c r="D6" t="str">
        <f>CONCATENATE("28-GrossLoad, L. ",'28-GrossLoad'!$A$12," / 1000")</f>
        <v>28-GrossLoad, L. 104 / 1000</v>
      </c>
      <c r="F6" s="8">
        <f>A6</f>
        <v>101</v>
      </c>
    </row>
    <row r="7" spans="1:6">
      <c r="A7" s="8">
        <f>A6+1</f>
        <v>102</v>
      </c>
      <c r="B7" s="12" t="s">
        <v>942</v>
      </c>
      <c r="C7" s="558">
        <f ca="1">C5/C6</f>
        <v>7.1949899453010255</v>
      </c>
      <c r="D7" t="str">
        <f>"Line "&amp;A5&amp;" / Line "&amp;A6&amp;""</f>
        <v>Line 100 / Line 101</v>
      </c>
      <c r="F7" s="8">
        <f>A7</f>
        <v>102</v>
      </c>
    </row>
    <row r="8" spans="1:6">
      <c r="F8" s="8"/>
    </row>
    <row r="9" spans="1:6">
      <c r="B9" s="57" t="s">
        <v>941</v>
      </c>
      <c r="C9" s="54"/>
      <c r="D9" s="54"/>
      <c r="E9" s="54"/>
      <c r="F9" s="8"/>
    </row>
    <row r="10" spans="1:6">
      <c r="A10" s="8">
        <v>200</v>
      </c>
      <c r="B10" t="s">
        <v>940</v>
      </c>
      <c r="C10" s="333">
        <f ca="1">'26-WholesaleTRRs'!E59</f>
        <v>1647293591.79</v>
      </c>
      <c r="D10" s="337" t="s">
        <v>1449</v>
      </c>
      <c r="F10" s="8">
        <f>A10</f>
        <v>200</v>
      </c>
    </row>
    <row r="11" spans="1:6">
      <c r="A11" s="8">
        <f>A10+1</f>
        <v>201</v>
      </c>
      <c r="B11" t="s">
        <v>939</v>
      </c>
      <c r="C11" s="21">
        <f>C6</f>
        <v>90745267.60060446</v>
      </c>
      <c r="D11" t="str">
        <f>CONCATENATE("28-GrossLoad, L. ",'28-GrossLoad'!$A$12," / 1000")</f>
        <v>28-GrossLoad, L. 104 / 1000</v>
      </c>
      <c r="F11" s="8">
        <f>A11</f>
        <v>201</v>
      </c>
    </row>
    <row r="12" spans="1:6">
      <c r="A12" s="8">
        <f>A11+1</f>
        <v>202</v>
      </c>
      <c r="B12" s="12" t="s">
        <v>938</v>
      </c>
      <c r="C12" s="558">
        <f ca="1">C10/C11</f>
        <v>18.152942135122728</v>
      </c>
      <c r="D12" t="str">
        <f>"Line "&amp;A10&amp;" / Line "&amp;A11&amp;""</f>
        <v>Line 200 / Line 201</v>
      </c>
      <c r="F12" s="8">
        <f>A12</f>
        <v>202</v>
      </c>
    </row>
    <row r="14" spans="1:6">
      <c r="B14" s="12"/>
    </row>
    <row r="28" spans="4:4">
      <c r="D28" s="17"/>
    </row>
  </sheetData>
  <printOptions horizontalCentered="1"/>
  <pageMargins left="1" right="1" top="1" bottom="1" header="0.5" footer="0.5"/>
  <pageSetup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32"/>
  <sheetViews>
    <sheetView tabSelected="1" view="pageBreakPreview" zoomScale="55" zoomScaleNormal="100" zoomScaleSheetLayoutView="55" workbookViewId="0">
      <selection activeCell="P108" sqref="P108"/>
    </sheetView>
  </sheetViews>
  <sheetFormatPr defaultColWidth="9.1796875" defaultRowHeight="14.5"/>
  <cols>
    <col min="1" max="1" width="4.7265625" bestFit="1" customWidth="1"/>
    <col min="2" max="2" width="50" customWidth="1"/>
    <col min="3" max="3" width="18" bestFit="1" customWidth="1"/>
    <col min="4" max="4" width="31.1796875" bestFit="1" customWidth="1"/>
    <col min="5" max="5" width="9.453125" bestFit="1" customWidth="1"/>
    <col min="6" max="6" width="4.7265625" bestFit="1" customWidth="1"/>
    <col min="7" max="7" width="9.1796875" customWidth="1"/>
    <col min="8" max="8" width="21.7265625" bestFit="1" customWidth="1"/>
    <col min="9" max="9" width="13.26953125" bestFit="1" customWidth="1"/>
  </cols>
  <sheetData>
    <row r="1" spans="1:9">
      <c r="B1" s="12" t="s">
        <v>951</v>
      </c>
      <c r="E1" s="15" t="str">
        <f>CONCATENATE("Rate Year: ",'1-BaseTRR'!$F$1)</f>
        <v>Rate Year: 2024</v>
      </c>
    </row>
    <row r="2" spans="1:9">
      <c r="B2" s="117" t="s">
        <v>196</v>
      </c>
      <c r="E2" s="15"/>
    </row>
    <row r="3" spans="1:9">
      <c r="B3" s="142"/>
    </row>
    <row r="4" spans="1:9">
      <c r="B4" s="16" t="s">
        <v>135</v>
      </c>
    </row>
    <row r="5" spans="1:9">
      <c r="B5" t="s">
        <v>950</v>
      </c>
    </row>
    <row r="6" spans="1:9">
      <c r="B6" s="142"/>
    </row>
    <row r="7" spans="1:9">
      <c r="A7" s="13" t="s">
        <v>124</v>
      </c>
      <c r="B7" s="13" t="s">
        <v>129</v>
      </c>
      <c r="C7" s="13" t="s">
        <v>80</v>
      </c>
      <c r="D7" s="13" t="s">
        <v>54</v>
      </c>
      <c r="E7" s="13" t="s">
        <v>11</v>
      </c>
      <c r="F7" s="13" t="s">
        <v>124</v>
      </c>
    </row>
    <row r="8" spans="1:9">
      <c r="A8" s="8">
        <v>100</v>
      </c>
      <c r="B8" t="s">
        <v>949</v>
      </c>
      <c r="C8" s="129">
        <v>92949169392.098099</v>
      </c>
      <c r="D8" s="377" t="s">
        <v>1394</v>
      </c>
      <c r="E8" s="30"/>
      <c r="F8" s="8">
        <f>A8</f>
        <v>100</v>
      </c>
    </row>
    <row r="9" spans="1:9">
      <c r="A9" s="8">
        <f>A8+1</f>
        <v>101</v>
      </c>
      <c r="B9" t="s">
        <v>948</v>
      </c>
      <c r="C9" s="379">
        <v>0.96528000000000003</v>
      </c>
      <c r="D9" s="377" t="s">
        <v>1395</v>
      </c>
      <c r="E9" s="30"/>
      <c r="F9" s="8">
        <f>A9</f>
        <v>101</v>
      </c>
    </row>
    <row r="10" spans="1:9">
      <c r="A10" s="8">
        <f t="shared" ref="A10:A12" si="0">A9+1</f>
        <v>102</v>
      </c>
      <c r="B10" t="s">
        <v>947</v>
      </c>
      <c r="C10" s="21">
        <f>C8*C9</f>
        <v>89721974230.804459</v>
      </c>
      <c r="D10" s="21" t="str">
        <f>"Line "&amp;A8&amp;" * Line "&amp;A9&amp;""</f>
        <v>Line 100 * Line 101</v>
      </c>
      <c r="E10" s="30"/>
      <c r="F10" s="8">
        <f>A10</f>
        <v>102</v>
      </c>
    </row>
    <row r="11" spans="1:9">
      <c r="A11" s="8">
        <f t="shared" si="0"/>
        <v>103</v>
      </c>
      <c r="B11" t="s">
        <v>1149</v>
      </c>
      <c r="C11" s="378">
        <v>1023293369.8</v>
      </c>
      <c r="D11" s="377" t="s">
        <v>1396</v>
      </c>
      <c r="E11" s="30"/>
      <c r="F11" s="8">
        <f>A11</f>
        <v>103</v>
      </c>
    </row>
    <row r="12" spans="1:9">
      <c r="A12" s="8">
        <f t="shared" si="0"/>
        <v>104</v>
      </c>
      <c r="B12" s="12" t="s">
        <v>946</v>
      </c>
      <c r="C12" s="530">
        <f>C11+C10</f>
        <v>90745267600.604462</v>
      </c>
      <c r="D12" s="21" t="str">
        <f>"Line "&amp;A10&amp;" + Line "&amp;A11&amp;""</f>
        <v>Line 102 + Line 103</v>
      </c>
      <c r="E12" s="30"/>
      <c r="F12" s="8">
        <f>A12</f>
        <v>104</v>
      </c>
      <c r="H12" s="572"/>
      <c r="I12" s="572"/>
    </row>
    <row r="14" spans="1:9">
      <c r="B14" s="16"/>
    </row>
    <row r="32" spans="4:4">
      <c r="D32" s="17"/>
    </row>
  </sheetData>
  <printOptions horizontalCentered="1"/>
  <pageMargins left="1" right="1" top="1" bottom="1" header="0.5" footer="0.5"/>
  <pageSetup scale="97"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19E6-0B63-463F-8650-8636E69D782D}">
  <sheetPr>
    <pageSetUpPr fitToPage="1"/>
  </sheetPr>
  <dimension ref="A1:P57"/>
  <sheetViews>
    <sheetView tabSelected="1" view="pageBreakPreview" zoomScale="55" zoomScaleNormal="85" zoomScaleSheetLayoutView="55" workbookViewId="0">
      <selection activeCell="P108" sqref="P108"/>
    </sheetView>
  </sheetViews>
  <sheetFormatPr defaultColWidth="8.81640625" defaultRowHeight="14.5"/>
  <cols>
    <col min="1" max="1" width="5.26953125" style="4" customWidth="1"/>
    <col min="2" max="2" width="8.81640625" style="17" customWidth="1"/>
    <col min="3" max="3" width="3.7265625" style="17" customWidth="1"/>
    <col min="4" max="4" width="16.7265625" style="17" customWidth="1"/>
    <col min="5" max="5" width="1.1796875" style="17" customWidth="1"/>
    <col min="6" max="6" width="16.453125" style="17" customWidth="1"/>
    <col min="7" max="7" width="2.7265625" style="381" hidden="1" customWidth="1"/>
    <col min="8" max="8" width="18" style="17" customWidth="1"/>
    <col min="9" max="9" width="7.7265625" style="17" customWidth="1"/>
    <col min="10" max="10" width="13.26953125" style="17" customWidth="1"/>
    <col min="11" max="11" width="15.54296875" style="380" customWidth="1"/>
    <col min="12" max="12" width="15.453125" style="17" customWidth="1"/>
    <col min="13" max="13" width="13.26953125" style="27" customWidth="1"/>
    <col min="14" max="14" width="7.1796875" style="27" customWidth="1"/>
    <col min="15" max="16384" width="8.81640625" style="17"/>
  </cols>
  <sheetData>
    <row r="1" spans="1:14">
      <c r="A1" s="201"/>
      <c r="B1" s="201" t="s">
        <v>1135</v>
      </c>
      <c r="M1" s="15" t="s">
        <v>1136</v>
      </c>
      <c r="N1" s="17"/>
    </row>
    <row r="2" spans="1:14">
      <c r="A2" s="201"/>
      <c r="B2" s="201" t="s">
        <v>1137</v>
      </c>
      <c r="C2" s="4"/>
      <c r="D2" s="388"/>
      <c r="E2" s="384"/>
      <c r="F2" s="4"/>
      <c r="L2" s="387"/>
      <c r="M2" s="386" t="s">
        <v>1138</v>
      </c>
      <c r="N2" s="17"/>
    </row>
    <row r="3" spans="1:14">
      <c r="A3" s="201"/>
      <c r="B3" s="414" t="s">
        <v>196</v>
      </c>
      <c r="C3" s="414"/>
      <c r="D3" s="414"/>
      <c r="E3" s="384"/>
      <c r="F3" s="4"/>
      <c r="M3" s="17"/>
      <c r="N3" s="17"/>
    </row>
    <row r="5" spans="1:14">
      <c r="D5" s="734"/>
      <c r="F5" s="122" t="s">
        <v>100</v>
      </c>
      <c r="G5" s="735"/>
      <c r="H5" s="122" t="s">
        <v>101</v>
      </c>
      <c r="I5" s="115"/>
      <c r="J5" s="122" t="s">
        <v>102</v>
      </c>
      <c r="K5" s="389"/>
      <c r="L5" s="122" t="s">
        <v>103</v>
      </c>
      <c r="M5" s="122" t="s">
        <v>104</v>
      </c>
      <c r="N5" s="17"/>
    </row>
    <row r="6" spans="1:14">
      <c r="D6" s="734"/>
      <c r="F6" s="122"/>
      <c r="G6" s="735"/>
      <c r="H6" s="122"/>
      <c r="I6" s="115"/>
      <c r="J6" s="122"/>
      <c r="K6" s="389"/>
      <c r="L6" s="122"/>
      <c r="M6" s="122"/>
      <c r="N6" s="17"/>
    </row>
    <row r="7" spans="1:14">
      <c r="F7" s="27" t="s">
        <v>125</v>
      </c>
      <c r="G7" s="27"/>
      <c r="H7" s="27" t="s">
        <v>126</v>
      </c>
      <c r="I7" s="391"/>
      <c r="J7" s="140" t="s">
        <v>1288</v>
      </c>
      <c r="K7" s="391"/>
      <c r="L7" s="385" t="s">
        <v>169</v>
      </c>
      <c r="M7" s="140" t="s">
        <v>1289</v>
      </c>
      <c r="N7" s="17"/>
    </row>
    <row r="8" spans="1:14">
      <c r="F8" s="27" t="s">
        <v>987</v>
      </c>
      <c r="H8" s="27" t="s">
        <v>986</v>
      </c>
      <c r="I8" s="27" t="s">
        <v>985</v>
      </c>
      <c r="J8" s="385" t="s">
        <v>193</v>
      </c>
      <c r="K8" s="385" t="s">
        <v>985</v>
      </c>
      <c r="L8" s="385" t="s">
        <v>984</v>
      </c>
      <c r="M8" s="27" t="s">
        <v>983</v>
      </c>
      <c r="N8" s="17"/>
    </row>
    <row r="9" spans="1:14">
      <c r="A9" s="119" t="s">
        <v>124</v>
      </c>
      <c r="B9" s="736" t="s">
        <v>982</v>
      </c>
      <c r="C9" s="115"/>
      <c r="D9" s="736" t="s">
        <v>981</v>
      </c>
      <c r="F9" s="736" t="s">
        <v>980</v>
      </c>
      <c r="G9" s="115"/>
      <c r="H9" s="736" t="s">
        <v>979</v>
      </c>
      <c r="I9" s="736" t="s">
        <v>978</v>
      </c>
      <c r="J9" s="736" t="s">
        <v>420</v>
      </c>
      <c r="K9" s="736" t="s">
        <v>978</v>
      </c>
      <c r="L9" s="736" t="s">
        <v>977</v>
      </c>
      <c r="M9" s="736" t="s">
        <v>976</v>
      </c>
      <c r="N9" s="119" t="str">
        <f>A9</f>
        <v>Line</v>
      </c>
    </row>
    <row r="10" spans="1:14">
      <c r="G10" s="17"/>
      <c r="I10" s="381"/>
      <c r="J10" s="142"/>
      <c r="K10" s="142"/>
      <c r="L10" s="380"/>
      <c r="M10" s="17"/>
      <c r="N10" s="4"/>
    </row>
    <row r="11" spans="1:14">
      <c r="A11" s="131">
        <v>100</v>
      </c>
      <c r="B11" s="221" t="s">
        <v>975</v>
      </c>
      <c r="C11" s="221"/>
      <c r="D11" s="737" t="s">
        <v>974</v>
      </c>
      <c r="E11" s="221"/>
      <c r="F11" s="486">
        <f ca="1">+'29-RetailRates-2'!M12</f>
        <v>1283741758.837023</v>
      </c>
      <c r="G11" s="738"/>
      <c r="H11" s="739">
        <f>'29-RetailRates-2'!E12</f>
        <v>27666722782.354755</v>
      </c>
      <c r="I11" s="740" t="s">
        <v>963</v>
      </c>
      <c r="J11" s="741">
        <f ca="1">F11/(H11-'29-RetailRates-2'!$E$13)</f>
        <v>4.6400625719137063E-2</v>
      </c>
      <c r="K11" s="742" t="s">
        <v>958</v>
      </c>
      <c r="L11" s="739">
        <f>'29-RetailRates-2'!E12</f>
        <v>27666722782.354755</v>
      </c>
      <c r="M11" s="743">
        <f ca="1">F11/L11</f>
        <v>4.6400210423757388E-2</v>
      </c>
      <c r="N11" s="131">
        <f>A11</f>
        <v>100</v>
      </c>
    </row>
    <row r="12" spans="1:14">
      <c r="A12" s="131"/>
      <c r="D12" s="387"/>
      <c r="F12" s="164"/>
      <c r="G12" s="164"/>
      <c r="H12" s="380"/>
      <c r="I12" s="744"/>
      <c r="J12" s="745" t="s">
        <v>968</v>
      </c>
      <c r="K12" s="142"/>
      <c r="L12" s="380"/>
      <c r="N12" s="17"/>
    </row>
    <row r="13" spans="1:14">
      <c r="A13" s="131">
        <f>A11+1</f>
        <v>101</v>
      </c>
      <c r="B13" s="221" t="s">
        <v>1987</v>
      </c>
      <c r="C13" s="221"/>
      <c r="D13" s="737" t="s">
        <v>973</v>
      </c>
      <c r="E13" s="221"/>
      <c r="F13" s="486">
        <f ca="1">+'29-RetailRates-2'!M14</f>
        <v>262018055.2661424</v>
      </c>
      <c r="G13" s="738"/>
      <c r="H13" s="739">
        <f>'29-RetailRates-2'!E14</f>
        <v>8074913236.0832243</v>
      </c>
      <c r="I13" s="740" t="s">
        <v>963</v>
      </c>
      <c r="J13" s="741">
        <f ca="1">F13/H13</f>
        <v>3.2448405029951201E-2</v>
      </c>
      <c r="K13" s="742" t="s">
        <v>958</v>
      </c>
      <c r="L13" s="739">
        <f>'29-RetailRates-2'!E14</f>
        <v>8074913236.0832243</v>
      </c>
      <c r="M13" s="743">
        <f ca="1">F13/L13</f>
        <v>3.2448405029951201E-2</v>
      </c>
      <c r="N13" s="131">
        <f>A13</f>
        <v>101</v>
      </c>
    </row>
    <row r="14" spans="1:14">
      <c r="A14" s="131"/>
      <c r="D14" s="387"/>
      <c r="F14" s="164"/>
      <c r="G14" s="164"/>
      <c r="H14" s="380"/>
      <c r="I14" s="744"/>
      <c r="J14" s="745" t="s">
        <v>968</v>
      </c>
      <c r="K14" s="142"/>
      <c r="L14" s="380"/>
      <c r="N14" s="17"/>
    </row>
    <row r="15" spans="1:14">
      <c r="A15" s="131">
        <f>A13+1</f>
        <v>102</v>
      </c>
      <c r="B15" s="17" t="s">
        <v>1988</v>
      </c>
      <c r="D15" s="387" t="s">
        <v>972</v>
      </c>
      <c r="F15" s="164"/>
      <c r="G15" s="164"/>
      <c r="H15" s="746">
        <v>29336261.359636001</v>
      </c>
      <c r="I15" s="744" t="s">
        <v>953</v>
      </c>
      <c r="J15" s="747"/>
      <c r="K15" s="124"/>
      <c r="L15" s="380">
        <f>'29-RetailRates-2'!E16</f>
        <v>7953343254.7308159</v>
      </c>
      <c r="M15" s="748">
        <f ca="1">(H15*$J$23)/L15</f>
        <v>3.6280420160299864E-2</v>
      </c>
      <c r="N15" s="131">
        <f>A15</f>
        <v>102</v>
      </c>
    </row>
    <row r="16" spans="1:14">
      <c r="A16" s="131"/>
      <c r="D16" s="387"/>
      <c r="F16" s="164"/>
      <c r="G16" s="164"/>
      <c r="H16" s="380"/>
      <c r="I16" s="744"/>
      <c r="J16" s="747"/>
      <c r="K16" s="142"/>
      <c r="L16" s="380"/>
      <c r="N16" s="17"/>
    </row>
    <row r="17" spans="1:14">
      <c r="A17" s="131">
        <f>A15+1</f>
        <v>103</v>
      </c>
      <c r="B17" s="17" t="s">
        <v>1989</v>
      </c>
      <c r="D17" s="387" t="s">
        <v>962</v>
      </c>
      <c r="F17" s="164"/>
      <c r="G17" s="164"/>
      <c r="H17" s="746">
        <v>132961.99546900002</v>
      </c>
      <c r="I17" s="744" t="s">
        <v>953</v>
      </c>
      <c r="J17" s="747"/>
      <c r="K17" s="124"/>
      <c r="L17" s="380">
        <f>'29-RetailRates-2'!E18</f>
        <v>51486492.216999993</v>
      </c>
      <c r="M17" s="748">
        <f ca="1">(H17*$J$23)/L17</f>
        <v>2.5401039403542307E-2</v>
      </c>
      <c r="N17" s="131">
        <f>A17</f>
        <v>103</v>
      </c>
    </row>
    <row r="18" spans="1:14">
      <c r="A18" s="131"/>
      <c r="D18" s="387"/>
      <c r="F18" s="164"/>
      <c r="G18" s="164"/>
      <c r="H18" s="380"/>
      <c r="I18" s="744"/>
      <c r="J18" s="747"/>
      <c r="K18" s="142"/>
      <c r="L18" s="380"/>
      <c r="N18" s="17"/>
    </row>
    <row r="19" spans="1:14">
      <c r="A19" s="131">
        <f>A17+1</f>
        <v>104</v>
      </c>
      <c r="B19" s="17" t="s">
        <v>1989</v>
      </c>
      <c r="D19" s="387" t="s">
        <v>960</v>
      </c>
      <c r="F19" s="164"/>
      <c r="G19" s="164"/>
      <c r="H19" s="746">
        <v>3431810.236974</v>
      </c>
      <c r="I19" s="744" t="s">
        <v>953</v>
      </c>
      <c r="J19" s="747"/>
      <c r="K19" s="124"/>
      <c r="L19" s="380">
        <f>'29-RetailRates-2'!E20</f>
        <v>1313285738.5606451</v>
      </c>
      <c r="M19" s="748">
        <f ca="1">(H19*$J$23)/L19</f>
        <v>2.5702851403506619E-2</v>
      </c>
      <c r="N19" s="131">
        <f>A19</f>
        <v>104</v>
      </c>
    </row>
    <row r="20" spans="1:14">
      <c r="A20" s="131"/>
      <c r="D20" s="387"/>
      <c r="F20" s="164"/>
      <c r="G20" s="164"/>
      <c r="H20" s="380"/>
      <c r="I20" s="744"/>
      <c r="J20" s="747" t="s">
        <v>968</v>
      </c>
      <c r="K20" s="142"/>
      <c r="L20" s="380"/>
      <c r="N20" s="17"/>
    </row>
    <row r="21" spans="1:14">
      <c r="A21" s="131">
        <f>A19+1</f>
        <v>105</v>
      </c>
      <c r="B21" s="17" t="s">
        <v>1989</v>
      </c>
      <c r="D21" s="387" t="s">
        <v>957</v>
      </c>
      <c r="F21" s="164"/>
      <c r="G21" s="164"/>
      <c r="H21" s="383">
        <v>33609672.577980995</v>
      </c>
      <c r="I21" s="744" t="s">
        <v>953</v>
      </c>
      <c r="J21" s="747"/>
      <c r="K21" s="124"/>
      <c r="L21" s="380">
        <f>'29-RetailRates-2'!E22</f>
        <v>12722209440.490993</v>
      </c>
      <c r="M21" s="748">
        <f ca="1">(H21*$J$23)/L21</f>
        <v>2.5984777886767486E-2</v>
      </c>
      <c r="N21" s="131">
        <f>A21</f>
        <v>105</v>
      </c>
    </row>
    <row r="22" spans="1:14">
      <c r="A22" s="131"/>
      <c r="D22" s="387"/>
      <c r="F22" s="164"/>
      <c r="G22" s="164"/>
      <c r="H22" s="380"/>
      <c r="I22" s="744"/>
      <c r="J22" s="745" t="s">
        <v>968</v>
      </c>
      <c r="K22" s="142"/>
      <c r="L22" s="380"/>
      <c r="N22" s="17"/>
    </row>
    <row r="23" spans="1:14">
      <c r="A23" s="131">
        <f>A21+1</f>
        <v>106</v>
      </c>
      <c r="B23" s="749" t="s">
        <v>971</v>
      </c>
      <c r="C23" s="221"/>
      <c r="D23" s="737"/>
      <c r="E23" s="221"/>
      <c r="F23" s="486">
        <f ca="1">+'29-RetailRates-2'!M24</f>
        <v>654197420.1069386</v>
      </c>
      <c r="G23" s="738"/>
      <c r="H23" s="739">
        <f>SUM(H15:H21)</f>
        <v>66510706.170059994</v>
      </c>
      <c r="I23" s="740" t="s">
        <v>953</v>
      </c>
      <c r="J23" s="750">
        <f ca="1">F23/H23</f>
        <v>9.8359716469440777</v>
      </c>
      <c r="K23" s="742" t="s">
        <v>961</v>
      </c>
      <c r="L23" s="739"/>
      <c r="M23" s="751"/>
      <c r="N23" s="131">
        <f>A23</f>
        <v>106</v>
      </c>
    </row>
    <row r="24" spans="1:14">
      <c r="A24" s="131"/>
      <c r="D24" s="387"/>
      <c r="F24" s="164"/>
      <c r="G24" s="164"/>
      <c r="H24" s="380"/>
      <c r="I24" s="744"/>
      <c r="J24" s="745"/>
      <c r="K24" s="142"/>
      <c r="L24" s="380"/>
      <c r="N24" s="17"/>
    </row>
    <row r="25" spans="1:14">
      <c r="A25" s="131">
        <f>A23+1</f>
        <v>107</v>
      </c>
      <c r="B25" s="221" t="s">
        <v>970</v>
      </c>
      <c r="C25" s="221"/>
      <c r="D25" s="737" t="s">
        <v>969</v>
      </c>
      <c r="E25" s="221"/>
      <c r="F25" s="486">
        <f ca="1">+'29-RetailRates-2'!M26</f>
        <v>6878567.7837675428</v>
      </c>
      <c r="G25" s="738"/>
      <c r="H25" s="739">
        <f>'29-RetailRates-2'!E26</f>
        <v>253429732.82046798</v>
      </c>
      <c r="I25" s="740" t="s">
        <v>963</v>
      </c>
      <c r="J25" s="741">
        <f ca="1">F25/H25</f>
        <v>2.7141913094468617E-2</v>
      </c>
      <c r="K25" s="742" t="s">
        <v>958</v>
      </c>
      <c r="L25" s="739">
        <f>'29-RetailRates-2'!E26</f>
        <v>253429732.82046798</v>
      </c>
      <c r="M25" s="743">
        <f ca="1">F25/L25</f>
        <v>2.7141913094468617E-2</v>
      </c>
      <c r="N25" s="131">
        <f>A25</f>
        <v>107</v>
      </c>
    </row>
    <row r="26" spans="1:14">
      <c r="A26" s="131"/>
      <c r="D26" s="387"/>
      <c r="F26" s="164"/>
      <c r="G26" s="164"/>
      <c r="H26" s="380"/>
      <c r="I26" s="744"/>
      <c r="J26" s="745" t="s">
        <v>968</v>
      </c>
      <c r="K26" s="142"/>
      <c r="L26" s="380"/>
      <c r="N26" s="17"/>
    </row>
    <row r="27" spans="1:14">
      <c r="A27" s="131">
        <f>A25+1</f>
        <v>108</v>
      </c>
      <c r="B27" s="17" t="s">
        <v>967</v>
      </c>
      <c r="D27" s="387" t="s">
        <v>966</v>
      </c>
      <c r="F27" s="164"/>
      <c r="G27" s="164"/>
      <c r="H27" s="380">
        <f>'29-RetailRates-2'!E28</f>
        <v>115953240.106251</v>
      </c>
      <c r="I27" s="744" t="s">
        <v>963</v>
      </c>
      <c r="J27" s="745"/>
      <c r="K27" s="124"/>
      <c r="L27" s="380">
        <f>'29-RetailRates-2'!E28</f>
        <v>115953240.106251</v>
      </c>
      <c r="M27" s="748">
        <f ca="1">H27*$J$31/L27</f>
        <v>3.0581882325266135E-2</v>
      </c>
      <c r="N27" s="131">
        <f>A27</f>
        <v>108</v>
      </c>
    </row>
    <row r="28" spans="1:14">
      <c r="A28" s="131"/>
      <c r="D28" s="387"/>
      <c r="F28" s="164"/>
      <c r="G28" s="164"/>
      <c r="H28" s="380"/>
      <c r="I28" s="744"/>
      <c r="J28" s="745"/>
      <c r="K28" s="142"/>
      <c r="L28" s="380"/>
      <c r="N28" s="17"/>
    </row>
    <row r="29" spans="1:14">
      <c r="A29" s="131">
        <f>A27+1</f>
        <v>109</v>
      </c>
      <c r="B29" s="17" t="s">
        <v>1990</v>
      </c>
      <c r="D29" s="387" t="s">
        <v>965</v>
      </c>
      <c r="F29" s="164"/>
      <c r="G29" s="164"/>
      <c r="H29" s="739">
        <f>'29-RetailRates-2'!E30</f>
        <v>5396087006.08675</v>
      </c>
      <c r="I29" s="744" t="s">
        <v>963</v>
      </c>
      <c r="J29" s="745"/>
      <c r="K29" s="124"/>
      <c r="L29" s="380">
        <f>'29-RetailRates-2'!E30</f>
        <v>5396087006.08675</v>
      </c>
      <c r="M29" s="748">
        <f ca="1">H29*$J$31/L29</f>
        <v>3.0581882325266135E-2</v>
      </c>
      <c r="N29" s="131">
        <f>A29</f>
        <v>109</v>
      </c>
    </row>
    <row r="30" spans="1:14">
      <c r="A30" s="131"/>
      <c r="D30" s="387"/>
      <c r="F30" s="164"/>
      <c r="G30" s="164"/>
      <c r="H30" s="380"/>
      <c r="I30" s="744"/>
      <c r="J30" s="745"/>
      <c r="K30" s="124"/>
      <c r="L30" s="380"/>
      <c r="N30" s="17"/>
    </row>
    <row r="31" spans="1:14">
      <c r="A31" s="131">
        <f>A29+1</f>
        <v>110</v>
      </c>
      <c r="B31" s="749" t="s">
        <v>964</v>
      </c>
      <c r="C31" s="221"/>
      <c r="D31" s="737"/>
      <c r="E31" s="221"/>
      <c r="F31" s="486">
        <f ca="1">+'29-RetailRates-2'!M32</f>
        <v>168568566.18120533</v>
      </c>
      <c r="G31" s="738"/>
      <c r="H31" s="739">
        <f>SUM(H27:H29)</f>
        <v>5512040246.1930008</v>
      </c>
      <c r="I31" s="740" t="s">
        <v>963</v>
      </c>
      <c r="J31" s="741">
        <f ca="1">F31/H31</f>
        <v>3.0581882325266135E-2</v>
      </c>
      <c r="K31" s="742" t="s">
        <v>958</v>
      </c>
      <c r="L31" s="739"/>
      <c r="M31" s="751"/>
      <c r="N31" s="131">
        <f>A31</f>
        <v>110</v>
      </c>
    </row>
    <row r="32" spans="1:14">
      <c r="A32" s="131"/>
      <c r="D32" s="387"/>
      <c r="F32" s="164"/>
      <c r="G32" s="164"/>
      <c r="H32" s="380"/>
      <c r="I32" s="744"/>
      <c r="J32" s="745"/>
      <c r="K32" s="142"/>
      <c r="L32" s="380"/>
      <c r="N32" s="17"/>
    </row>
    <row r="33" spans="1:16">
      <c r="A33" s="131">
        <f>A31+1</f>
        <v>111</v>
      </c>
      <c r="B33" s="17" t="s">
        <v>1991</v>
      </c>
      <c r="D33" s="387" t="s">
        <v>962</v>
      </c>
      <c r="F33" s="164"/>
      <c r="G33" s="164"/>
      <c r="H33" s="746">
        <v>11234365.299442999</v>
      </c>
      <c r="I33" s="744" t="s">
        <v>953</v>
      </c>
      <c r="J33" s="747"/>
      <c r="K33" s="124"/>
      <c r="L33" s="380">
        <f>'29-RetailRates-2'!E34</f>
        <v>5813304544.7361603</v>
      </c>
      <c r="M33" s="748">
        <f ca="1">+H33*$J$39/L33</f>
        <v>2.3033233962384114E-2</v>
      </c>
      <c r="N33" s="131">
        <f>A33</f>
        <v>111</v>
      </c>
    </row>
    <row r="34" spans="1:16">
      <c r="A34" s="131"/>
      <c r="D34" s="387"/>
      <c r="F34" s="164"/>
      <c r="G34" s="164"/>
      <c r="H34" s="380"/>
      <c r="I34" s="744"/>
      <c r="J34" s="747"/>
      <c r="K34" s="142"/>
      <c r="L34" s="380"/>
      <c r="N34" s="17"/>
    </row>
    <row r="35" spans="1:16">
      <c r="A35" s="131">
        <f>A33+1</f>
        <v>112</v>
      </c>
      <c r="B35" s="17" t="s">
        <v>1991</v>
      </c>
      <c r="D35" s="387" t="s">
        <v>960</v>
      </c>
      <c r="F35" s="164"/>
      <c r="G35" s="164"/>
      <c r="H35" s="746">
        <v>13735879.086199</v>
      </c>
      <c r="I35" s="744" t="s">
        <v>953</v>
      </c>
      <c r="J35" s="747"/>
      <c r="K35" s="124"/>
      <c r="L35" s="380">
        <f>'29-RetailRates-2'!E36</f>
        <v>6366762979.4000874</v>
      </c>
      <c r="M35" s="748">
        <f ca="1">+H35*$J$39/L35</f>
        <v>2.5713857310640471E-2</v>
      </c>
      <c r="N35" s="131">
        <f>A35</f>
        <v>112</v>
      </c>
    </row>
    <row r="36" spans="1:16">
      <c r="A36" s="131"/>
      <c r="D36" s="387"/>
      <c r="F36" s="164"/>
      <c r="G36" s="164"/>
      <c r="H36" s="380"/>
      <c r="I36" s="744"/>
      <c r="J36" s="747"/>
      <c r="K36" s="142"/>
      <c r="L36" s="380"/>
      <c r="N36" s="17"/>
    </row>
    <row r="37" spans="1:16">
      <c r="A37" s="131">
        <f>A35+1</f>
        <v>113</v>
      </c>
      <c r="B37" s="17" t="s">
        <v>1991</v>
      </c>
      <c r="D37" s="387" t="s">
        <v>957</v>
      </c>
      <c r="F37" s="164"/>
      <c r="G37" s="164"/>
      <c r="H37" s="383">
        <v>4130440.7981360005</v>
      </c>
      <c r="I37" s="744" t="s">
        <v>953</v>
      </c>
      <c r="J37" s="747"/>
      <c r="K37" s="124"/>
      <c r="L37" s="380">
        <f>'29-RetailRates-2'!E38</f>
        <v>1802238688.755214</v>
      </c>
      <c r="M37" s="748">
        <f ca="1">+H37*$J$39/L37</f>
        <v>2.7315776213911343E-2</v>
      </c>
      <c r="N37" s="131">
        <f>A37</f>
        <v>113</v>
      </c>
    </row>
    <row r="38" spans="1:16">
      <c r="A38" s="131"/>
      <c r="D38" s="387"/>
      <c r="F38" s="164"/>
      <c r="G38" s="380"/>
      <c r="H38" s="380"/>
      <c r="I38" s="408"/>
      <c r="J38" s="747"/>
      <c r="K38" s="124"/>
      <c r="L38" s="380"/>
      <c r="N38" s="17"/>
    </row>
    <row r="39" spans="1:16">
      <c r="A39" s="131">
        <f>A37+1</f>
        <v>114</v>
      </c>
      <c r="B39" s="749" t="s">
        <v>1992</v>
      </c>
      <c r="C39" s="221"/>
      <c r="D39" s="737"/>
      <c r="E39" s="221"/>
      <c r="F39" s="486">
        <f ca="1">+'29-RetailRates-2'!M40</f>
        <v>346842787.16255134</v>
      </c>
      <c r="G39" s="739"/>
      <c r="H39" s="739">
        <f>SUM(H33:H37)</f>
        <v>29100685.183777999</v>
      </c>
      <c r="I39" s="740" t="s">
        <v>953</v>
      </c>
      <c r="J39" s="750">
        <f ca="1">F39/H39</f>
        <v>11.918715486324588</v>
      </c>
      <c r="K39" s="742" t="s">
        <v>961</v>
      </c>
      <c r="L39" s="739"/>
      <c r="M39" s="751"/>
      <c r="N39" s="131">
        <f>A39</f>
        <v>114</v>
      </c>
    </row>
    <row r="40" spans="1:16">
      <c r="A40" s="131"/>
      <c r="D40" s="387"/>
      <c r="F40" s="164"/>
      <c r="G40" s="380"/>
      <c r="H40" s="380"/>
      <c r="I40" s="408"/>
      <c r="J40" s="407"/>
      <c r="K40" s="142"/>
      <c r="L40" s="380"/>
      <c r="N40" s="17"/>
    </row>
    <row r="41" spans="1:16">
      <c r="A41" s="131">
        <f>A39+1</f>
        <v>115</v>
      </c>
      <c r="B41" s="17" t="s">
        <v>1993</v>
      </c>
      <c r="D41" s="387" t="s">
        <v>962</v>
      </c>
      <c r="F41" s="752"/>
      <c r="G41" s="164"/>
      <c r="H41" s="746">
        <v>8514190.1340349987</v>
      </c>
      <c r="I41" s="744" t="s">
        <v>953</v>
      </c>
      <c r="J41" s="855"/>
      <c r="K41" s="855"/>
      <c r="L41" s="380">
        <f>'29-RetailRates-2'!E45</f>
        <v>509584663.90853697</v>
      </c>
      <c r="M41" s="753">
        <f ca="1">($J$46*H41*0.85+$J$44*L41)/L41</f>
        <v>3.33338657759642E-2</v>
      </c>
      <c r="N41" s="131">
        <f>A41</f>
        <v>115</v>
      </c>
    </row>
    <row r="42" spans="1:16">
      <c r="A42" s="131"/>
      <c r="D42" s="387"/>
      <c r="F42" s="752"/>
      <c r="G42" s="164"/>
      <c r="H42" s="380"/>
      <c r="I42" s="744"/>
      <c r="J42" s="733"/>
      <c r="K42" s="754"/>
      <c r="L42" s="380"/>
      <c r="M42" s="755"/>
      <c r="N42" s="17"/>
    </row>
    <row r="43" spans="1:16">
      <c r="A43" s="131">
        <f>A41+1</f>
        <v>116</v>
      </c>
      <c r="B43" s="17" t="s">
        <v>1993</v>
      </c>
      <c r="D43" s="387" t="s">
        <v>960</v>
      </c>
      <c r="F43" s="752"/>
      <c r="G43" s="164"/>
      <c r="H43" s="746">
        <v>1279797.6705809999</v>
      </c>
      <c r="I43" s="744" t="s">
        <v>953</v>
      </c>
      <c r="J43" s="855" t="s">
        <v>959</v>
      </c>
      <c r="K43" s="855"/>
      <c r="L43" s="380">
        <f>'29-RetailRates-2'!E47</f>
        <v>17656940.444141999</v>
      </c>
      <c r="M43" s="753">
        <f ca="1">($J$46*H43*0.85+$J$44*L43)/L43</f>
        <v>8.6483325321839943E-2</v>
      </c>
      <c r="N43" s="131">
        <f>A43</f>
        <v>116</v>
      </c>
    </row>
    <row r="44" spans="1:16">
      <c r="A44" s="131"/>
      <c r="D44" s="387"/>
      <c r="F44" s="752"/>
      <c r="G44" s="164"/>
      <c r="H44" s="380"/>
      <c r="I44" s="744"/>
      <c r="J44" s="745">
        <f ca="1">(F47*0.5)/SUM(L41:L45)</f>
        <v>1.7411763556879335E-2</v>
      </c>
      <c r="K44" s="754" t="s">
        <v>958</v>
      </c>
      <c r="L44" s="380"/>
      <c r="M44" s="755"/>
      <c r="N44" s="17"/>
    </row>
    <row r="45" spans="1:16">
      <c r="A45" s="131">
        <f>A43+1</f>
        <v>117</v>
      </c>
      <c r="B45" s="17" t="s">
        <v>1993</v>
      </c>
      <c r="D45" s="387" t="s">
        <v>957</v>
      </c>
      <c r="F45" s="752"/>
      <c r="G45" s="164"/>
      <c r="H45" s="383">
        <v>71329.188691999996</v>
      </c>
      <c r="I45" s="744" t="s">
        <v>953</v>
      </c>
      <c r="J45" s="855" t="s">
        <v>956</v>
      </c>
      <c r="K45" s="855"/>
      <c r="L45" s="380">
        <f>'29-RetailRates-2'!E49</f>
        <v>12693663.914753001</v>
      </c>
      <c r="M45" s="753">
        <f ca="1">($J$46*H45*0.85+$J$44*L45)/L45</f>
        <v>2.2766692366379321E-2</v>
      </c>
      <c r="N45" s="131">
        <f>A45</f>
        <v>117</v>
      </c>
    </row>
    <row r="46" spans="1:16">
      <c r="A46" s="131"/>
      <c r="D46" s="387"/>
      <c r="F46" s="752"/>
      <c r="G46" s="164"/>
      <c r="H46" s="380"/>
      <c r="I46" s="744"/>
      <c r="J46" s="747">
        <f ca="1">(F47*0.5)/(H47*0.85)</f>
        <v>1.1211261615367107</v>
      </c>
      <c r="K46" s="754" t="s">
        <v>955</v>
      </c>
      <c r="L46" s="380"/>
      <c r="M46" s="755"/>
      <c r="N46" s="17"/>
    </row>
    <row r="47" spans="1:16">
      <c r="A47" s="131">
        <f>A45+1</f>
        <v>118</v>
      </c>
      <c r="B47" s="749" t="s">
        <v>954</v>
      </c>
      <c r="C47" s="221"/>
      <c r="D47" s="737"/>
      <c r="E47" s="221"/>
      <c r="F47" s="486">
        <f ca="1">+'29-RetailRates-2'!M51</f>
        <v>18802450.454185478</v>
      </c>
      <c r="G47" s="739"/>
      <c r="H47" s="739">
        <f>SUM(H41:H45)</f>
        <v>9865316.9933079984</v>
      </c>
      <c r="I47" s="740" t="s">
        <v>953</v>
      </c>
      <c r="J47" s="221"/>
      <c r="K47" s="739"/>
      <c r="L47" s="739">
        <f>SUM(L41:L46)</f>
        <v>539935268.26743197</v>
      </c>
      <c r="M47" s="756">
        <f ca="1">($J$46*H47*0.85+$J$44*L47)/L47</f>
        <v>3.4823527113758669E-2</v>
      </c>
      <c r="N47" s="131">
        <f>A47</f>
        <v>118</v>
      </c>
      <c r="O47" s="27"/>
      <c r="P47" s="31"/>
    </row>
    <row r="48" spans="1:16">
      <c r="A48" s="131"/>
      <c r="C48" s="757"/>
      <c r="D48" s="758"/>
      <c r="E48" s="758"/>
      <c r="F48" s="758"/>
      <c r="G48" s="759"/>
      <c r="H48" s="752"/>
      <c r="J48" s="760"/>
      <c r="L48" s="380"/>
      <c r="M48" s="17"/>
      <c r="N48" s="17"/>
    </row>
    <row r="49" spans="1:14">
      <c r="A49" s="131">
        <f>A47+1</f>
        <v>119</v>
      </c>
      <c r="B49" s="142" t="s">
        <v>361</v>
      </c>
      <c r="D49" s="17" t="s">
        <v>952</v>
      </c>
      <c r="F49" s="463">
        <f ca="1">SUM(F10:F47)</f>
        <v>2741049605.7918139</v>
      </c>
      <c r="G49" s="380"/>
      <c r="L49" s="380">
        <f>SUM(L11:L45)</f>
        <v>78069672404.609802</v>
      </c>
      <c r="M49" s="748">
        <f ca="1">F49/L49</f>
        <v>3.5110299830462238E-2</v>
      </c>
      <c r="N49" s="131">
        <f>A49</f>
        <v>119</v>
      </c>
    </row>
    <row r="50" spans="1:14">
      <c r="B50" s="142"/>
      <c r="F50" s="761"/>
      <c r="G50" s="380"/>
      <c r="L50" s="380"/>
      <c r="M50" s="748"/>
      <c r="N50" s="17"/>
    </row>
    <row r="51" spans="1:14">
      <c r="F51" s="762"/>
      <c r="G51" s="380"/>
      <c r="H51" s="509"/>
      <c r="J51" s="509"/>
      <c r="L51" s="380"/>
      <c r="M51" s="748"/>
      <c r="N51" s="17"/>
    </row>
    <row r="52" spans="1:14">
      <c r="B52" s="206" t="s">
        <v>127</v>
      </c>
      <c r="E52" s="382"/>
      <c r="F52" s="217"/>
      <c r="G52" s="17"/>
      <c r="L52" s="380"/>
      <c r="M52" s="17"/>
      <c r="N52" s="17"/>
    </row>
    <row r="53" spans="1:14">
      <c r="B53" s="816" t="s">
        <v>1489</v>
      </c>
      <c r="C53" s="816"/>
      <c r="D53" s="816"/>
      <c r="E53" s="816"/>
      <c r="F53" s="816"/>
      <c r="G53" s="816"/>
      <c r="H53" s="816"/>
      <c r="I53" s="816"/>
      <c r="J53" s="816"/>
      <c r="K53" s="816"/>
      <c r="L53" s="816"/>
      <c r="M53" s="816"/>
      <c r="N53" s="17"/>
    </row>
    <row r="54" spans="1:14">
      <c r="B54" s="815" t="s">
        <v>1302</v>
      </c>
      <c r="C54" s="815"/>
      <c r="D54" s="815"/>
      <c r="E54" s="815"/>
      <c r="F54" s="815"/>
      <c r="G54" s="815"/>
      <c r="H54" s="815"/>
      <c r="I54" s="815"/>
      <c r="J54" s="815"/>
      <c r="K54" s="815"/>
      <c r="L54" s="815"/>
      <c r="M54" s="815"/>
      <c r="N54" s="17"/>
    </row>
    <row r="55" spans="1:14">
      <c r="B55" s="815"/>
      <c r="C55" s="815"/>
      <c r="D55" s="815"/>
      <c r="E55" s="815"/>
      <c r="F55" s="815"/>
      <c r="G55" s="815"/>
      <c r="H55" s="815"/>
      <c r="I55" s="815"/>
      <c r="J55" s="815"/>
      <c r="K55" s="815"/>
      <c r="L55" s="815"/>
      <c r="M55" s="815"/>
      <c r="N55" s="17"/>
    </row>
    <row r="56" spans="1:14">
      <c r="B56" s="815" t="s">
        <v>1287</v>
      </c>
      <c r="C56" s="815"/>
      <c r="D56" s="815"/>
      <c r="E56" s="815"/>
      <c r="F56" s="815"/>
      <c r="G56" s="815"/>
      <c r="H56" s="815"/>
      <c r="I56" s="815"/>
      <c r="J56" s="815"/>
      <c r="K56" s="815"/>
      <c r="L56" s="815"/>
      <c r="M56" s="815"/>
      <c r="N56" s="17"/>
    </row>
    <row r="57" spans="1:14" ht="29.5" customHeight="1">
      <c r="B57" s="815"/>
      <c r="C57" s="815"/>
      <c r="D57" s="815"/>
      <c r="E57" s="815"/>
      <c r="F57" s="815"/>
      <c r="G57" s="815"/>
      <c r="H57" s="815"/>
      <c r="I57" s="815"/>
      <c r="J57" s="815"/>
      <c r="K57" s="815"/>
      <c r="L57" s="815"/>
      <c r="M57" s="815"/>
      <c r="N57" s="17"/>
    </row>
  </sheetData>
  <mergeCells count="7">
    <mergeCell ref="B57:M57"/>
    <mergeCell ref="J41:K41"/>
    <mergeCell ref="J43:K43"/>
    <mergeCell ref="J45:K45"/>
    <mergeCell ref="B53:M53"/>
    <mergeCell ref="B54:M55"/>
    <mergeCell ref="B56:M56"/>
  </mergeCells>
  <printOptions horizontalCentered="1"/>
  <pageMargins left="1" right="1" top="1" bottom="1" header="0.5" footer="0.5"/>
  <pageSetup scale="8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A349-CE99-416F-A270-8DC54C9D19D7}">
  <sheetPr>
    <pageSetUpPr fitToPage="1"/>
  </sheetPr>
  <dimension ref="A1:P81"/>
  <sheetViews>
    <sheetView tabSelected="1" view="pageBreakPreview" topLeftCell="A14" zoomScale="55" zoomScaleNormal="70" zoomScaleSheetLayoutView="55" workbookViewId="0">
      <selection activeCell="P108" sqref="P108"/>
    </sheetView>
  </sheetViews>
  <sheetFormatPr defaultColWidth="8.81640625" defaultRowHeight="14.5"/>
  <cols>
    <col min="1" max="1" width="5.7265625" style="17" customWidth="1"/>
    <col min="2" max="2" width="10.81640625" style="17" customWidth="1"/>
    <col min="3" max="3" width="18.453125" style="17" customWidth="1"/>
    <col min="4" max="4" width="19.81640625" style="380" customWidth="1"/>
    <col min="5" max="5" width="19.26953125" style="17" customWidth="1"/>
    <col min="6" max="6" width="16.7265625" style="17" customWidth="1"/>
    <col min="7" max="7" width="18.54296875" style="17" customWidth="1"/>
    <col min="8" max="8" width="10.453125" style="17" customWidth="1"/>
    <col min="9" max="9" width="18.54296875" style="17" customWidth="1"/>
    <col min="10" max="10" width="2" style="17" customWidth="1"/>
    <col min="11" max="12" width="16.54296875" style="385" customWidth="1"/>
    <col min="13" max="13" width="21.26953125" style="27" customWidth="1"/>
    <col min="14" max="14" width="6.7265625" style="17" customWidth="1"/>
    <col min="15" max="15" width="12.7265625" style="380" customWidth="1"/>
    <col min="16" max="16384" width="8.81640625" style="17"/>
  </cols>
  <sheetData>
    <row r="1" spans="1:16">
      <c r="B1" s="201" t="s">
        <v>1006</v>
      </c>
      <c r="M1" s="15" t="s">
        <v>1136</v>
      </c>
    </row>
    <row r="2" spans="1:16">
      <c r="B2" s="201" t="s">
        <v>988</v>
      </c>
      <c r="C2" s="384"/>
      <c r="D2" s="406"/>
      <c r="E2" s="4"/>
      <c r="F2" s="4"/>
      <c r="K2" s="407"/>
      <c r="L2" s="407">
        <v>5</v>
      </c>
      <c r="M2" s="130" t="s">
        <v>1005</v>
      </c>
    </row>
    <row r="3" spans="1:16">
      <c r="B3" s="414" t="s">
        <v>196</v>
      </c>
      <c r="C3" s="414"/>
      <c r="D3" s="414"/>
      <c r="E3" s="4"/>
      <c r="F3" s="4"/>
      <c r="K3" s="407"/>
      <c r="L3" s="407"/>
    </row>
    <row r="4" spans="1:16" ht="15" thickBot="1">
      <c r="B4" s="201"/>
      <c r="C4" s="384"/>
      <c r="D4" s="406"/>
      <c r="E4" s="408"/>
      <c r="F4" s="4"/>
      <c r="G4" s="27"/>
      <c r="H4" s="27"/>
      <c r="I4" s="27"/>
      <c r="K4" s="407"/>
      <c r="L4" s="407"/>
      <c r="M4" s="130"/>
    </row>
    <row r="5" spans="1:16">
      <c r="B5" s="201"/>
      <c r="C5" s="734"/>
      <c r="D5" s="501" t="s">
        <v>100</v>
      </c>
      <c r="E5" s="502" t="s">
        <v>101</v>
      </c>
      <c r="F5" s="122" t="s">
        <v>102</v>
      </c>
      <c r="G5" s="122" t="s">
        <v>103</v>
      </c>
      <c r="H5" s="122" t="s">
        <v>104</v>
      </c>
      <c r="I5" s="503" t="s">
        <v>105</v>
      </c>
      <c r="J5" s="206"/>
      <c r="K5" s="502" t="s">
        <v>106</v>
      </c>
      <c r="L5" s="579" t="s">
        <v>107</v>
      </c>
      <c r="M5" s="122" t="s">
        <v>108</v>
      </c>
    </row>
    <row r="6" spans="1:16">
      <c r="B6" s="201"/>
      <c r="C6" s="734"/>
      <c r="D6" s="501"/>
      <c r="E6" s="502"/>
      <c r="F6" s="122"/>
      <c r="G6" s="122"/>
      <c r="H6" s="122"/>
      <c r="I6" s="503"/>
      <c r="J6" s="206"/>
      <c r="K6" s="502"/>
      <c r="L6" s="580"/>
      <c r="M6" s="122"/>
    </row>
    <row r="7" spans="1:16">
      <c r="B7" s="4"/>
      <c r="C7" s="384"/>
      <c r="D7" s="385" t="s">
        <v>125</v>
      </c>
      <c r="E7" s="385" t="s">
        <v>126</v>
      </c>
      <c r="F7" s="385" t="s">
        <v>169</v>
      </c>
      <c r="G7" s="763" t="s">
        <v>1290</v>
      </c>
      <c r="H7" s="385" t="s">
        <v>218</v>
      </c>
      <c r="I7" s="763" t="s">
        <v>1291</v>
      </c>
      <c r="K7" s="763" t="s">
        <v>1292</v>
      </c>
      <c r="L7" s="764" t="s">
        <v>1514</v>
      </c>
      <c r="M7" s="140" t="s">
        <v>1441</v>
      </c>
    </row>
    <row r="8" spans="1:16">
      <c r="D8" s="385" t="s">
        <v>1003</v>
      </c>
      <c r="E8" s="140" t="s">
        <v>1004</v>
      </c>
      <c r="F8" s="385" t="s">
        <v>1003</v>
      </c>
      <c r="G8" s="27" t="s">
        <v>1001</v>
      </c>
      <c r="H8" s="403" t="s">
        <v>1002</v>
      </c>
      <c r="I8" s="27" t="s">
        <v>1001</v>
      </c>
      <c r="K8" s="404" t="s">
        <v>1000</v>
      </c>
      <c r="L8" s="581" t="s">
        <v>1515</v>
      </c>
      <c r="M8" s="27" t="s">
        <v>987</v>
      </c>
      <c r="P8" s="99"/>
    </row>
    <row r="9" spans="1:16">
      <c r="D9" s="765" t="s">
        <v>1140</v>
      </c>
      <c r="E9" s="405" t="s">
        <v>999</v>
      </c>
      <c r="F9" s="765" t="str">
        <f>D9</f>
        <v>5-Year Historical</v>
      </c>
      <c r="G9" s="766" t="str">
        <f>CONCATENATE("Scaled to ",E4)</f>
        <v xml:space="preserve">Scaled to </v>
      </c>
      <c r="H9" s="403" t="s">
        <v>998</v>
      </c>
      <c r="I9" s="404" t="s">
        <v>997</v>
      </c>
      <c r="K9" s="404" t="s">
        <v>996</v>
      </c>
      <c r="L9" s="581" t="s">
        <v>1516</v>
      </c>
      <c r="M9" s="27" t="s">
        <v>980</v>
      </c>
      <c r="P9" s="99"/>
    </row>
    <row r="10" spans="1:16">
      <c r="A10" s="119" t="s">
        <v>124</v>
      </c>
      <c r="B10" s="736" t="s">
        <v>982</v>
      </c>
      <c r="C10" s="736" t="s">
        <v>981</v>
      </c>
      <c r="D10" s="767" t="s">
        <v>977</v>
      </c>
      <c r="E10" s="736" t="s">
        <v>977</v>
      </c>
      <c r="F10" s="736" t="s">
        <v>994</v>
      </c>
      <c r="G10" s="736" t="s">
        <v>994</v>
      </c>
      <c r="H10" s="768" t="s">
        <v>995</v>
      </c>
      <c r="I10" s="736" t="s">
        <v>994</v>
      </c>
      <c r="J10" s="115"/>
      <c r="K10" s="769" t="s">
        <v>993</v>
      </c>
      <c r="L10" s="582" t="s">
        <v>1517</v>
      </c>
      <c r="M10" s="736" t="s">
        <v>1141</v>
      </c>
      <c r="N10" s="119" t="str">
        <f>A10</f>
        <v>Line</v>
      </c>
      <c r="P10" s="99"/>
    </row>
    <row r="11" spans="1:16">
      <c r="H11" s="403"/>
      <c r="K11" s="402"/>
      <c r="L11" s="583"/>
      <c r="M11" s="142"/>
      <c r="P11" s="99"/>
    </row>
    <row r="12" spans="1:16">
      <c r="A12" s="131">
        <v>100</v>
      </c>
      <c r="B12" s="17" t="s">
        <v>975</v>
      </c>
      <c r="C12" s="17" t="s">
        <v>974</v>
      </c>
      <c r="D12" s="746">
        <v>28324881434</v>
      </c>
      <c r="E12" s="746">
        <v>27666722782.354755</v>
      </c>
      <c r="F12" s="395">
        <v>72804375.974709198</v>
      </c>
      <c r="G12" s="380">
        <f>(E12/D12)*F12</f>
        <v>71112689.107915446</v>
      </c>
      <c r="H12" s="770">
        <v>1.1384794179171955</v>
      </c>
      <c r="I12" s="771">
        <f>H12*G12</f>
        <v>80960332.902106062</v>
      </c>
      <c r="K12" s="772">
        <f>I12/I$42</f>
        <v>0.47157428608931956</v>
      </c>
      <c r="L12" s="773">
        <f>(I12/I$42)*L$42</f>
        <v>0.4683394843072114</v>
      </c>
      <c r="M12" s="463">
        <f ca="1">L12*$M$56</f>
        <v>1283741758.837023</v>
      </c>
      <c r="N12" s="131">
        <f>A12</f>
        <v>100</v>
      </c>
      <c r="P12" s="99"/>
    </row>
    <row r="13" spans="1:16">
      <c r="A13" s="131"/>
      <c r="D13" s="771" t="s">
        <v>992</v>
      </c>
      <c r="E13" s="746">
        <v>247623</v>
      </c>
      <c r="F13" s="397"/>
      <c r="G13" s="380"/>
      <c r="H13" s="403"/>
      <c r="I13" s="380"/>
      <c r="K13" s="772"/>
      <c r="L13" s="773"/>
      <c r="M13" s="164"/>
      <c r="N13" s="131"/>
      <c r="P13" s="99"/>
    </row>
    <row r="14" spans="1:16">
      <c r="A14" s="131">
        <f>A12+1</f>
        <v>101</v>
      </c>
      <c r="B14" s="17" t="s">
        <v>1987</v>
      </c>
      <c r="C14" s="17" t="s">
        <v>973</v>
      </c>
      <c r="D14" s="746">
        <v>7894149034.75</v>
      </c>
      <c r="E14" s="746">
        <v>8074913236.0832243</v>
      </c>
      <c r="F14" s="395">
        <v>14189533.205500921</v>
      </c>
      <c r="G14" s="380">
        <f>(E14/D14)*F14</f>
        <v>14514452.284921983</v>
      </c>
      <c r="H14" s="403">
        <f>$H$12</f>
        <v>1.1384794179171955</v>
      </c>
      <c r="I14" s="771">
        <f>H14*G14</f>
        <v>16524405.188724888</v>
      </c>
      <c r="K14" s="772">
        <f>I14/I$42</f>
        <v>9.6250648936262923E-2</v>
      </c>
      <c r="L14" s="773">
        <f>(I14/I$42)*L$42</f>
        <v>9.5590409860697376E-2</v>
      </c>
      <c r="M14" s="463">
        <f ca="1">L14*$M$56</f>
        <v>262018055.2661424</v>
      </c>
      <c r="N14" s="131">
        <f>A14</f>
        <v>101</v>
      </c>
      <c r="P14" s="99"/>
    </row>
    <row r="15" spans="1:16">
      <c r="A15" s="131"/>
      <c r="E15" s="380"/>
      <c r="F15" s="397"/>
      <c r="G15" s="380"/>
      <c r="H15" s="403"/>
      <c r="I15" s="380"/>
      <c r="K15" s="772"/>
      <c r="L15" s="773"/>
      <c r="M15" s="761"/>
      <c r="N15" s="131"/>
      <c r="P15" s="99"/>
    </row>
    <row r="16" spans="1:16">
      <c r="A16" s="131">
        <f>A14+1</f>
        <v>102</v>
      </c>
      <c r="B16" s="17" t="s">
        <v>1988</v>
      </c>
      <c r="C16" s="17" t="s">
        <v>972</v>
      </c>
      <c r="D16" s="746">
        <v>7966618509.25</v>
      </c>
      <c r="E16" s="746">
        <v>7953343254.7308159</v>
      </c>
      <c r="F16" s="395">
        <v>13725150.206580797</v>
      </c>
      <c r="G16" s="380">
        <f>(E16/D16)*F16</f>
        <v>13702279.165110085</v>
      </c>
      <c r="H16" s="403">
        <f>$H$12</f>
        <v>1.1384794179171955</v>
      </c>
      <c r="I16" s="771">
        <f>H16*G16</f>
        <v>15599762.808033446</v>
      </c>
      <c r="K16" s="772"/>
      <c r="L16" s="773"/>
      <c r="M16" s="761"/>
      <c r="N16" s="131">
        <f>A16</f>
        <v>102</v>
      </c>
      <c r="P16" s="99"/>
    </row>
    <row r="17" spans="1:16">
      <c r="A17" s="131"/>
      <c r="E17" s="380"/>
      <c r="F17" s="397"/>
      <c r="G17" s="380"/>
      <c r="H17" s="403"/>
      <c r="I17" s="380"/>
      <c r="K17" s="772"/>
      <c r="L17" s="773"/>
      <c r="M17" s="761"/>
      <c r="N17" s="131"/>
      <c r="P17" s="99"/>
    </row>
    <row r="18" spans="1:16">
      <c r="A18" s="131">
        <f>A16+1</f>
        <v>103</v>
      </c>
      <c r="B18" s="17" t="s">
        <v>1989</v>
      </c>
      <c r="C18" s="17" t="s">
        <v>962</v>
      </c>
      <c r="D18" s="746">
        <v>34870989.200000003</v>
      </c>
      <c r="E18" s="400">
        <v>51486492.216999993</v>
      </c>
      <c r="F18" s="395">
        <v>53041.095714562609</v>
      </c>
      <c r="G18" s="380">
        <f>(E18/D18)*F18</f>
        <v>78314.381792443644</v>
      </c>
      <c r="H18" s="770">
        <v>1.0435094</v>
      </c>
      <c r="I18" s="771">
        <f>H18*G18</f>
        <v>81721.793555603799</v>
      </c>
      <c r="K18" s="772"/>
      <c r="L18" s="773"/>
      <c r="M18" s="761"/>
      <c r="N18" s="131">
        <f>A18</f>
        <v>103</v>
      </c>
      <c r="P18" s="99"/>
    </row>
    <row r="19" spans="1:16">
      <c r="A19" s="131"/>
      <c r="E19" s="401"/>
      <c r="F19" s="397"/>
      <c r="G19" s="380"/>
      <c r="H19" s="403"/>
      <c r="I19" s="380"/>
      <c r="K19" s="772"/>
      <c r="L19" s="773"/>
      <c r="M19" s="761"/>
      <c r="N19" s="131"/>
      <c r="P19" s="99"/>
    </row>
    <row r="20" spans="1:16">
      <c r="A20" s="131">
        <f>A18+1</f>
        <v>104</v>
      </c>
      <c r="B20" s="17" t="s">
        <v>1989</v>
      </c>
      <c r="C20" s="17" t="s">
        <v>960</v>
      </c>
      <c r="D20" s="746">
        <v>1093932618.8</v>
      </c>
      <c r="E20" s="400">
        <v>1313285738.5606451</v>
      </c>
      <c r="F20" s="395">
        <v>1728427.7438966297</v>
      </c>
      <c r="G20" s="380">
        <f>(E20/D20)*F20</f>
        <v>2075008.5217149891</v>
      </c>
      <c r="H20" s="770">
        <v>1.074143946010695</v>
      </c>
      <c r="I20" s="771">
        <f>H20*G20</f>
        <v>2228857.8415207574</v>
      </c>
      <c r="K20" s="772"/>
      <c r="L20" s="773"/>
      <c r="M20" s="761"/>
      <c r="N20" s="131">
        <f>A20</f>
        <v>104</v>
      </c>
      <c r="P20" s="99"/>
    </row>
    <row r="21" spans="1:16">
      <c r="A21" s="131"/>
      <c r="E21" s="401"/>
      <c r="F21" s="397"/>
      <c r="G21" s="380"/>
      <c r="H21" s="403"/>
      <c r="I21" s="380"/>
      <c r="K21" s="772"/>
      <c r="L21" s="773"/>
      <c r="M21" s="761"/>
      <c r="N21" s="131"/>
      <c r="P21" s="99"/>
    </row>
    <row r="22" spans="1:16">
      <c r="A22" s="131">
        <f>A20+1</f>
        <v>105</v>
      </c>
      <c r="B22" s="17" t="s">
        <v>1989</v>
      </c>
      <c r="C22" s="17" t="s">
        <v>957</v>
      </c>
      <c r="D22" s="746">
        <v>11986113745</v>
      </c>
      <c r="E22" s="400">
        <v>12722209440.490993</v>
      </c>
      <c r="F22" s="395">
        <v>19320823.384377472</v>
      </c>
      <c r="G22" s="380">
        <f>(E22/D22)*F22</f>
        <v>20507361.008594051</v>
      </c>
      <c r="H22" s="403">
        <f>$H$12</f>
        <v>1.1384794179171955</v>
      </c>
      <c r="I22" s="771">
        <f>H22*G22</f>
        <v>23347208.424081948</v>
      </c>
      <c r="K22" s="772"/>
      <c r="L22" s="773"/>
      <c r="M22" s="761"/>
      <c r="N22" s="131">
        <f>A22</f>
        <v>105</v>
      </c>
      <c r="P22" s="99"/>
    </row>
    <row r="23" spans="1:16">
      <c r="A23" s="131"/>
      <c r="E23" s="380"/>
      <c r="F23" s="397"/>
      <c r="G23" s="380"/>
      <c r="H23" s="403"/>
      <c r="I23" s="380"/>
      <c r="K23" s="772"/>
      <c r="L23" s="773"/>
      <c r="M23" s="761"/>
      <c r="N23" s="131"/>
      <c r="P23" s="99"/>
    </row>
    <row r="24" spans="1:16">
      <c r="A24" s="131">
        <f>A22+1</f>
        <v>106</v>
      </c>
      <c r="B24" s="17" t="s">
        <v>971</v>
      </c>
      <c r="D24" s="380">
        <f>SUM(D16:D22)</f>
        <v>21081535862.25</v>
      </c>
      <c r="E24" s="380">
        <f>SUM(E16:E22)</f>
        <v>22040324925.999454</v>
      </c>
      <c r="F24" s="380">
        <f>SUM(F16:F22)</f>
        <v>34827442.430569462</v>
      </c>
      <c r="G24" s="380">
        <f>SUM(G16:G22)</f>
        <v>36362963.077211566</v>
      </c>
      <c r="H24" s="380"/>
      <c r="I24" s="380">
        <f>SUM(I16:I22)</f>
        <v>41257550.867191754</v>
      </c>
      <c r="K24" s="772">
        <f>I24/I$42</f>
        <v>0.24031521855913243</v>
      </c>
      <c r="L24" s="773">
        <f>(I24/I$42)*L$42</f>
        <v>0.23866675696952921</v>
      </c>
      <c r="M24" s="463">
        <f ca="1">L24*$M$56</f>
        <v>654197420.1069386</v>
      </c>
      <c r="N24" s="131">
        <f>A24</f>
        <v>106</v>
      </c>
      <c r="P24" s="99"/>
    </row>
    <row r="25" spans="1:16">
      <c r="A25" s="131"/>
      <c r="E25" s="380"/>
      <c r="F25" s="397"/>
      <c r="G25" s="380"/>
      <c r="H25" s="403"/>
      <c r="I25" s="380"/>
      <c r="K25" s="772"/>
      <c r="L25" s="773"/>
      <c r="M25" s="761"/>
      <c r="N25" s="131"/>
      <c r="P25" s="99"/>
    </row>
    <row r="26" spans="1:16">
      <c r="A26" s="131">
        <f>A24+1</f>
        <v>107</v>
      </c>
      <c r="B26" s="17" t="s">
        <v>970</v>
      </c>
      <c r="C26" s="17" t="s">
        <v>969</v>
      </c>
      <c r="D26" s="746">
        <v>263068244.75</v>
      </c>
      <c r="E26" s="746">
        <v>253429732.82046798</v>
      </c>
      <c r="F26" s="395">
        <v>395528.9858932214</v>
      </c>
      <c r="G26" s="380">
        <f>(E26/D26)*F26</f>
        <v>381037.26777410577</v>
      </c>
      <c r="H26" s="403">
        <f>$H$12</f>
        <v>1.1384794179171955</v>
      </c>
      <c r="I26" s="771">
        <f>H26*G26</f>
        <v>433803.0868202225</v>
      </c>
      <c r="K26" s="772">
        <f>I26/I$42</f>
        <v>2.5267976753251212E-3</v>
      </c>
      <c r="L26" s="773">
        <f>(I26/I$42)*L$42</f>
        <v>2.5094649032375007E-3</v>
      </c>
      <c r="M26" s="463">
        <f ca="1">L26*$M$56</f>
        <v>6878567.7837675428</v>
      </c>
      <c r="N26" s="131">
        <f>A26</f>
        <v>107</v>
      </c>
      <c r="P26" s="99"/>
    </row>
    <row r="27" spans="1:16">
      <c r="A27" s="131"/>
      <c r="E27" s="380"/>
      <c r="F27" s="397"/>
      <c r="G27" s="380"/>
      <c r="H27" s="403"/>
      <c r="I27" s="380"/>
      <c r="K27" s="772"/>
      <c r="L27" s="773"/>
      <c r="M27" s="761"/>
      <c r="N27" s="131"/>
      <c r="P27" s="99"/>
    </row>
    <row r="28" spans="1:16">
      <c r="A28" s="131">
        <f>A26+1</f>
        <v>108</v>
      </c>
      <c r="B28" s="17" t="s">
        <v>967</v>
      </c>
      <c r="C28" s="17" t="s">
        <v>966</v>
      </c>
      <c r="D28" s="398">
        <v>506813497.5</v>
      </c>
      <c r="E28" s="746">
        <v>115953240.106251</v>
      </c>
      <c r="F28" s="395">
        <v>790422.33666477003</v>
      </c>
      <c r="G28" s="380">
        <f>(E28/D28)*F28</f>
        <v>180839.75947904593</v>
      </c>
      <c r="H28" s="403">
        <f>$H$12</f>
        <v>1.1384794179171955</v>
      </c>
      <c r="I28" s="771">
        <f>H28*G28</f>
        <v>205882.34410798986</v>
      </c>
      <c r="K28" s="772"/>
      <c r="L28" s="773"/>
      <c r="M28" s="761"/>
      <c r="N28" s="131">
        <f>A28</f>
        <v>108</v>
      </c>
      <c r="P28" s="99"/>
    </row>
    <row r="29" spans="1:16">
      <c r="A29" s="131"/>
      <c r="D29" s="399"/>
      <c r="E29" s="380"/>
      <c r="F29" s="397"/>
      <c r="G29" s="380"/>
      <c r="H29" s="403"/>
      <c r="I29" s="380"/>
      <c r="K29" s="772"/>
      <c r="L29" s="773"/>
      <c r="M29" s="761"/>
      <c r="N29" s="131"/>
      <c r="P29" s="99"/>
    </row>
    <row r="30" spans="1:16">
      <c r="A30" s="131">
        <f>A28+1</f>
        <v>109</v>
      </c>
      <c r="B30" s="17" t="s">
        <v>1990</v>
      </c>
      <c r="C30" s="17" t="s">
        <v>965</v>
      </c>
      <c r="D30" s="398">
        <v>5899743052.75</v>
      </c>
      <c r="E30" s="746">
        <v>5396087006.08675</v>
      </c>
      <c r="F30" s="395">
        <v>10011680.214909162</v>
      </c>
      <c r="G30" s="380">
        <f>(E30/D30)*F30</f>
        <v>9156991.5899278708</v>
      </c>
      <c r="H30" s="403">
        <f>$H$12</f>
        <v>1.1384794179171955</v>
      </c>
      <c r="I30" s="771">
        <f>H30*G30</f>
        <v>10425046.455173736</v>
      </c>
      <c r="K30" s="772"/>
      <c r="L30" s="773"/>
      <c r="M30" s="761"/>
      <c r="N30" s="131">
        <f>A30</f>
        <v>109</v>
      </c>
      <c r="P30" s="99"/>
    </row>
    <row r="31" spans="1:16">
      <c r="A31" s="131"/>
      <c r="D31" s="17"/>
      <c r="E31" s="380"/>
      <c r="F31" s="397"/>
      <c r="G31" s="380"/>
      <c r="H31" s="403"/>
      <c r="I31" s="380"/>
      <c r="K31" s="772"/>
      <c r="L31" s="773"/>
      <c r="M31" s="761"/>
      <c r="N31" s="131"/>
      <c r="P31" s="99"/>
    </row>
    <row r="32" spans="1:16">
      <c r="A32" s="131">
        <f>A30+1</f>
        <v>110</v>
      </c>
      <c r="B32" s="17" t="s">
        <v>964</v>
      </c>
      <c r="D32" s="380">
        <f>SUM(D28:D31)</f>
        <v>6406556550.25</v>
      </c>
      <c r="E32" s="380">
        <f>SUM(E28:E31)</f>
        <v>5512040246.1930008</v>
      </c>
      <c r="F32" s="380">
        <f>SUM(F28:F31)</f>
        <v>10802102.551573932</v>
      </c>
      <c r="G32" s="380">
        <f>SUM(G28:G31)</f>
        <v>9337831.3494069166</v>
      </c>
      <c r="H32" s="403"/>
      <c r="I32" s="380">
        <f>SUM(I28:I31)</f>
        <v>10630928.799281726</v>
      </c>
      <c r="K32" s="772">
        <f>I32/I$42</f>
        <v>6.1922579605119855E-2</v>
      </c>
      <c r="L32" s="773">
        <f>(I32/I$42)*L$42</f>
        <v>6.1497816684901091E-2</v>
      </c>
      <c r="M32" s="463">
        <f ca="1">L32*$M$56</f>
        <v>168568566.18120533</v>
      </c>
      <c r="N32" s="131">
        <f>A32</f>
        <v>110</v>
      </c>
      <c r="P32" s="99"/>
    </row>
    <row r="33" spans="1:16">
      <c r="A33" s="131"/>
      <c r="D33" s="17"/>
      <c r="E33" s="380"/>
      <c r="F33" s="397"/>
      <c r="G33" s="380"/>
      <c r="H33" s="403"/>
      <c r="I33" s="380"/>
      <c r="K33" s="772"/>
      <c r="L33" s="773"/>
      <c r="M33" s="761"/>
      <c r="N33" s="131"/>
      <c r="P33" s="99"/>
    </row>
    <row r="34" spans="1:16">
      <c r="A34" s="131">
        <f>A32+1</f>
        <v>111</v>
      </c>
      <c r="B34" s="17" t="s">
        <v>1991</v>
      </c>
      <c r="C34" s="17" t="s">
        <v>962</v>
      </c>
      <c r="D34" s="393">
        <v>5923307581.6000004</v>
      </c>
      <c r="E34" s="746">
        <v>5813304544.7361603</v>
      </c>
      <c r="F34" s="395">
        <v>8550470.6646293495</v>
      </c>
      <c r="G34" s="380">
        <f>(E34/D34)*F34</f>
        <v>8391678.0092139542</v>
      </c>
      <c r="H34" s="403">
        <f>$H$18</f>
        <v>1.0435094</v>
      </c>
      <c r="I34" s="771">
        <f>H34*G34</f>
        <v>8756794.8843880482</v>
      </c>
      <c r="K34" s="772"/>
      <c r="L34" s="773"/>
      <c r="M34" s="761"/>
      <c r="N34" s="131">
        <f>A34</f>
        <v>111</v>
      </c>
      <c r="P34" s="99"/>
    </row>
    <row r="35" spans="1:16">
      <c r="A35" s="131"/>
      <c r="D35" s="394"/>
      <c r="E35" s="380"/>
      <c r="F35" s="397"/>
      <c r="G35" s="380"/>
      <c r="H35" s="403"/>
      <c r="I35" s="380"/>
      <c r="K35" s="772"/>
      <c r="L35" s="773"/>
      <c r="M35" s="761"/>
      <c r="N35" s="131"/>
      <c r="P35" s="99"/>
    </row>
    <row r="36" spans="1:16">
      <c r="A36" s="131">
        <f>A34+1</f>
        <v>112</v>
      </c>
      <c r="B36" s="17" t="s">
        <v>1991</v>
      </c>
      <c r="C36" s="17" t="s">
        <v>960</v>
      </c>
      <c r="D36" s="393">
        <v>6422710754</v>
      </c>
      <c r="E36" s="746">
        <v>6366762979.4000874</v>
      </c>
      <c r="F36" s="395">
        <v>9540144.083956616</v>
      </c>
      <c r="G36" s="380">
        <f>(E36/D36)*F36</f>
        <v>9457040.5702996328</v>
      </c>
      <c r="H36" s="403">
        <f>$H$20</f>
        <v>1.074143946010695</v>
      </c>
      <c r="I36" s="771">
        <f>H36*G36</f>
        <v>10158222.87576488</v>
      </c>
      <c r="K36" s="772"/>
      <c r="L36" s="773"/>
      <c r="M36" s="761"/>
      <c r="N36" s="131">
        <f>A36</f>
        <v>112</v>
      </c>
      <c r="P36" s="99"/>
    </row>
    <row r="37" spans="1:16">
      <c r="A37" s="131"/>
      <c r="D37" s="394"/>
      <c r="E37" s="380"/>
      <c r="F37" s="397"/>
      <c r="G37" s="380"/>
      <c r="H37" s="403"/>
      <c r="I37" s="380"/>
      <c r="K37" s="772"/>
      <c r="L37" s="773"/>
      <c r="M37" s="761"/>
      <c r="N37" s="131"/>
      <c r="P37" s="99"/>
    </row>
    <row r="38" spans="1:16">
      <c r="A38" s="131">
        <f>A36+1</f>
        <v>113</v>
      </c>
      <c r="B38" s="17" t="s">
        <v>1991</v>
      </c>
      <c r="C38" s="17" t="s">
        <v>957</v>
      </c>
      <c r="D38" s="393">
        <v>2223333287.5999999</v>
      </c>
      <c r="E38" s="746">
        <v>1802238688.755214</v>
      </c>
      <c r="F38" s="395">
        <v>3206288.5848072348</v>
      </c>
      <c r="G38" s="380">
        <f>(E38/D38)*F38</f>
        <v>2599024.3420011313</v>
      </c>
      <c r="H38" s="403">
        <f>$H$12</f>
        <v>1.1384794179171955</v>
      </c>
      <c r="I38" s="771">
        <f>H38*G38</f>
        <v>2958935.7200340698</v>
      </c>
      <c r="K38" s="772"/>
      <c r="L38" s="773"/>
      <c r="M38" s="761"/>
      <c r="N38" s="131">
        <f>A38</f>
        <v>113</v>
      </c>
      <c r="P38" s="99"/>
    </row>
    <row r="39" spans="1:16">
      <c r="A39" s="131"/>
      <c r="D39" s="394"/>
      <c r="E39" s="380"/>
      <c r="F39" s="396"/>
      <c r="G39" s="380"/>
      <c r="H39" s="403"/>
      <c r="I39" s="380"/>
      <c r="K39" s="772"/>
      <c r="L39" s="773"/>
      <c r="M39" s="761"/>
      <c r="N39" s="131"/>
      <c r="P39" s="99"/>
    </row>
    <row r="40" spans="1:16">
      <c r="A40" s="131">
        <f>A38+1</f>
        <v>114</v>
      </c>
      <c r="B40" s="17" t="s">
        <v>1992</v>
      </c>
      <c r="D40" s="380">
        <f>SUM(D34:D39)</f>
        <v>14569351623.200001</v>
      </c>
      <c r="E40" s="380">
        <f>SUM(E34:E39)</f>
        <v>13982306212.891462</v>
      </c>
      <c r="F40" s="380">
        <f>SUM(F34:F39)</f>
        <v>21296903.333393201</v>
      </c>
      <c r="G40" s="380">
        <f>SUM(G34:G39)</f>
        <v>20447742.92151472</v>
      </c>
      <c r="H40" s="403"/>
      <c r="I40" s="380">
        <f>SUM(I34:I39)</f>
        <v>21873953.480186999</v>
      </c>
      <c r="K40" s="772">
        <f>I40/I$42</f>
        <v>0.12741046913484019</v>
      </c>
      <c r="L40" s="773">
        <f>(I40/I$42)*L$42</f>
        <v>0.12653648676393001</v>
      </c>
      <c r="M40" s="463">
        <f ca="1">L40*$M$56</f>
        <v>346842787.16255134</v>
      </c>
      <c r="N40" s="131">
        <f>A40</f>
        <v>114</v>
      </c>
      <c r="P40" s="99"/>
    </row>
    <row r="41" spans="1:16">
      <c r="A41" s="131"/>
      <c r="D41" s="394"/>
      <c r="E41" s="380"/>
      <c r="F41" s="396"/>
      <c r="G41" s="380"/>
      <c r="H41" s="403"/>
      <c r="I41" s="380"/>
      <c r="K41" s="774"/>
      <c r="L41" s="773"/>
      <c r="M41" s="761"/>
      <c r="N41" s="131"/>
      <c r="P41" s="99"/>
    </row>
    <row r="42" spans="1:16">
      <c r="A42" s="131">
        <f>A40+1</f>
        <v>115</v>
      </c>
      <c r="B42" s="142" t="s">
        <v>991</v>
      </c>
      <c r="C42" s="142"/>
      <c r="D42" s="407">
        <f>+D12+D14+D24+D26+D32+D40</f>
        <v>78539542749.199997</v>
      </c>
      <c r="E42" s="407">
        <f>+E12+E14+E24+E26+E32+E40</f>
        <v>77529737136.342361</v>
      </c>
      <c r="F42" s="407">
        <f>+F12+F14+F24+F26+F32+F40</f>
        <v>154315886.48163992</v>
      </c>
      <c r="G42" s="407">
        <f>+G12+G14+G24+G26+G32+G40</f>
        <v>152156716.00874472</v>
      </c>
      <c r="H42" s="142"/>
      <c r="I42" s="407">
        <f>+I12+I14+I24+I26+I32+I40</f>
        <v>171680974.32431164</v>
      </c>
      <c r="J42" s="142"/>
      <c r="K42" s="775">
        <f>SUM(K12:K41)</f>
        <v>1</v>
      </c>
      <c r="L42" s="776">
        <f>1-L51</f>
        <v>0.99314041948950649</v>
      </c>
      <c r="M42" s="463">
        <f ca="1">L42*$M$56</f>
        <v>2722247155.3376279</v>
      </c>
      <c r="N42" s="131">
        <f>A42</f>
        <v>115</v>
      </c>
      <c r="P42" s="99"/>
    </row>
    <row r="43" spans="1:16">
      <c r="A43" s="131"/>
      <c r="D43" s="394"/>
      <c r="E43" s="380"/>
      <c r="F43" s="396"/>
      <c r="G43" s="380"/>
      <c r="H43" s="403"/>
      <c r="I43" s="380"/>
      <c r="K43" s="774"/>
      <c r="L43" s="773"/>
      <c r="M43" s="761"/>
      <c r="N43" s="131"/>
      <c r="P43" s="99"/>
    </row>
    <row r="44" spans="1:16">
      <c r="A44" s="131"/>
      <c r="D44" s="394"/>
      <c r="E44" s="380"/>
      <c r="F44" s="396"/>
      <c r="G44" s="380"/>
      <c r="H44" s="403"/>
      <c r="I44" s="380"/>
      <c r="K44" s="774"/>
      <c r="L44" s="773"/>
      <c r="M44" s="761"/>
      <c r="N44" s="131"/>
      <c r="P44" s="99"/>
    </row>
    <row r="45" spans="1:16">
      <c r="A45" s="131">
        <f>A42+1</f>
        <v>116</v>
      </c>
      <c r="B45" s="17" t="s">
        <v>1993</v>
      </c>
      <c r="C45" s="17" t="s">
        <v>962</v>
      </c>
      <c r="D45" s="393">
        <v>495356255.59999996</v>
      </c>
      <c r="E45" s="746">
        <v>509584663.90853697</v>
      </c>
      <c r="F45" s="395">
        <v>598445.66095488984</v>
      </c>
      <c r="G45" s="380">
        <f>(E45/D45)*F45</f>
        <v>615635.16672629619</v>
      </c>
      <c r="H45" s="403">
        <f>$H$18</f>
        <v>1.0435094</v>
      </c>
      <c r="I45" s="771">
        <f>H45*G45</f>
        <v>642421.08344945731</v>
      </c>
      <c r="K45" s="777"/>
      <c r="L45" s="778"/>
      <c r="M45" s="761"/>
      <c r="N45" s="131">
        <f>A45</f>
        <v>116</v>
      </c>
      <c r="P45" s="99"/>
    </row>
    <row r="46" spans="1:16">
      <c r="A46" s="131"/>
      <c r="D46" s="394"/>
      <c r="E46" s="380"/>
      <c r="F46" s="394"/>
      <c r="G46" s="380"/>
      <c r="H46" s="403"/>
      <c r="I46" s="380"/>
      <c r="K46" s="777"/>
      <c r="L46" s="778"/>
      <c r="M46" s="761"/>
      <c r="N46" s="131"/>
      <c r="P46" s="99"/>
    </row>
    <row r="47" spans="1:16">
      <c r="A47" s="131">
        <f>A45+1</f>
        <v>117</v>
      </c>
      <c r="B47" s="17" t="s">
        <v>1993</v>
      </c>
      <c r="C47" s="17" t="s">
        <v>960</v>
      </c>
      <c r="D47" s="393">
        <v>21356209.800000001</v>
      </c>
      <c r="E47" s="746">
        <v>17656940.444141999</v>
      </c>
      <c r="F47" s="395">
        <v>29301.225131426872</v>
      </c>
      <c r="G47" s="380">
        <f>(E47/D47)*F47</f>
        <v>24225.74005083997</v>
      </c>
      <c r="H47" s="403">
        <f>$H$20</f>
        <v>1.074143946010695</v>
      </c>
      <c r="I47" s="771">
        <f>H47*G47</f>
        <v>26021.93201323858</v>
      </c>
      <c r="K47" s="777"/>
      <c r="L47" s="778"/>
      <c r="M47" s="761"/>
      <c r="N47" s="131">
        <f>A47</f>
        <v>117</v>
      </c>
      <c r="P47" s="99"/>
    </row>
    <row r="48" spans="1:16">
      <c r="A48" s="131"/>
      <c r="D48" s="394"/>
      <c r="E48" s="380"/>
      <c r="F48" s="394"/>
      <c r="G48" s="380"/>
      <c r="H48" s="403"/>
      <c r="I48" s="380"/>
      <c r="K48" s="777"/>
      <c r="L48" s="778"/>
      <c r="M48" s="761"/>
      <c r="N48" s="131"/>
      <c r="P48" s="99"/>
    </row>
    <row r="49" spans="1:16">
      <c r="A49" s="131">
        <f>A47+1</f>
        <v>118</v>
      </c>
      <c r="B49" s="17" t="s">
        <v>1993</v>
      </c>
      <c r="C49" s="17" t="s">
        <v>957</v>
      </c>
      <c r="D49" s="393">
        <v>2431135</v>
      </c>
      <c r="E49" s="746">
        <v>12693663.914753001</v>
      </c>
      <c r="F49" s="393">
        <v>3686.4911450691143</v>
      </c>
      <c r="G49" s="380">
        <f>(E49/D49)*F49</f>
        <v>19248.243976669452</v>
      </c>
      <c r="H49" s="403">
        <f>$H$12</f>
        <v>1.1384794179171955</v>
      </c>
      <c r="I49" s="771">
        <f>H49*G49</f>
        <v>21913.729598486803</v>
      </c>
      <c r="K49" s="777"/>
      <c r="L49" s="778"/>
      <c r="M49" s="761"/>
      <c r="N49" s="131">
        <f>A49</f>
        <v>118</v>
      </c>
      <c r="P49" s="99"/>
    </row>
    <row r="50" spans="1:16">
      <c r="A50" s="131"/>
      <c r="E50" s="380"/>
      <c r="F50" s="380"/>
      <c r="G50" s="380"/>
      <c r="H50" s="403"/>
      <c r="I50" s="380"/>
      <c r="K50" s="777"/>
      <c r="L50" s="778"/>
      <c r="M50" s="761"/>
      <c r="N50" s="131"/>
      <c r="P50" s="99"/>
    </row>
    <row r="51" spans="1:16">
      <c r="A51" s="131">
        <f>A49+1</f>
        <v>119</v>
      </c>
      <c r="B51" s="17" t="s">
        <v>990</v>
      </c>
      <c r="D51" s="380">
        <f>SUM(D45:D49)</f>
        <v>519143600.39999998</v>
      </c>
      <c r="E51" s="380">
        <f>SUM(E45:E49)</f>
        <v>539935268.26743197</v>
      </c>
      <c r="F51" s="380">
        <f>SUM(F45:F49)</f>
        <v>631433.37723138579</v>
      </c>
      <c r="G51" s="380">
        <f>SUM(G45:G49)</f>
        <v>659109.15075380565</v>
      </c>
      <c r="H51" s="380"/>
      <c r="I51" s="380">
        <f>SUM(I45:I49)</f>
        <v>690356.74506118265</v>
      </c>
      <c r="K51" s="779"/>
      <c r="L51" s="780">
        <v>6.859580510493523E-3</v>
      </c>
      <c r="M51" s="463">
        <f ca="1">L51*$M$56</f>
        <v>18802450.454185478</v>
      </c>
      <c r="N51" s="131">
        <f>A51</f>
        <v>119</v>
      </c>
      <c r="P51" s="99"/>
    </row>
    <row r="52" spans="1:16">
      <c r="A52" s="131"/>
      <c r="B52" s="402"/>
      <c r="E52" s="380"/>
      <c r="F52" s="380"/>
      <c r="G52" s="380"/>
      <c r="I52" s="380"/>
      <c r="K52" s="774"/>
      <c r="L52" s="781"/>
      <c r="M52" s="761"/>
      <c r="N52" s="131"/>
      <c r="P52" s="99"/>
    </row>
    <row r="53" spans="1:16" ht="15" thickBot="1">
      <c r="A53" s="131"/>
      <c r="K53" s="777"/>
      <c r="L53" s="782"/>
      <c r="M53" s="131"/>
      <c r="N53" s="131"/>
    </row>
    <row r="54" spans="1:16" ht="15" thickBot="1">
      <c r="A54" s="131">
        <f>A51+1</f>
        <v>120</v>
      </c>
      <c r="B54" s="392" t="s">
        <v>989</v>
      </c>
      <c r="C54" s="783"/>
      <c r="D54" s="784">
        <f>+D12+D14+D24+D26+D32+D40+D51</f>
        <v>79058686349.599991</v>
      </c>
      <c r="E54" s="784">
        <f>+E12+E14+E24+E26+E32+E40+E51</f>
        <v>78069672404.609787</v>
      </c>
      <c r="F54" s="784">
        <f>+F12+F14+F24+F26+F32+F40+F51</f>
        <v>154947319.85887131</v>
      </c>
      <c r="G54" s="784">
        <f>+G51++G42</f>
        <v>152815825.15949851</v>
      </c>
      <c r="H54" s="783"/>
      <c r="I54" s="784">
        <f>I42+I51</f>
        <v>172371331.06937283</v>
      </c>
      <c r="J54" s="783"/>
      <c r="K54" s="568"/>
      <c r="L54" s="584">
        <f>L42+L51</f>
        <v>1</v>
      </c>
      <c r="M54" s="785">
        <f ca="1">M42+M51</f>
        <v>2741049605.7918134</v>
      </c>
      <c r="N54" s="131">
        <f>A54</f>
        <v>120</v>
      </c>
    </row>
    <row r="55" spans="1:16" ht="15" thickBot="1">
      <c r="A55" s="131"/>
      <c r="D55" s="17"/>
      <c r="N55" s="131"/>
    </row>
    <row r="56" spans="1:16" ht="15" thickBot="1">
      <c r="A56" s="131">
        <f>A54+1</f>
        <v>121</v>
      </c>
      <c r="B56" s="856" t="s">
        <v>1293</v>
      </c>
      <c r="C56" s="857"/>
      <c r="D56" s="857"/>
      <c r="E56" s="857"/>
      <c r="F56" s="857"/>
      <c r="G56" s="857"/>
      <c r="H56" s="857"/>
      <c r="I56" s="857"/>
      <c r="J56" s="857"/>
      <c r="K56" s="857"/>
      <c r="L56" s="857"/>
      <c r="M56" s="785">
        <f ca="1">'1-BaseTRR'!D160</f>
        <v>2741049605.7918134</v>
      </c>
      <c r="N56" s="131">
        <f>A56</f>
        <v>121</v>
      </c>
    </row>
    <row r="57" spans="1:16">
      <c r="M57" s="391"/>
    </row>
    <row r="58" spans="1:16">
      <c r="B58" s="206" t="s">
        <v>127</v>
      </c>
      <c r="D58" s="17"/>
      <c r="E58" s="382"/>
      <c r="F58" s="217"/>
      <c r="K58" s="17"/>
      <c r="L58" s="17"/>
      <c r="M58" s="17"/>
      <c r="N58" s="380"/>
      <c r="O58" s="17"/>
    </row>
    <row r="59" spans="1:16">
      <c r="B59" s="816" t="s">
        <v>1304</v>
      </c>
      <c r="C59" s="816"/>
      <c r="D59" s="816"/>
      <c r="E59" s="816"/>
      <c r="F59" s="816"/>
      <c r="G59" s="816"/>
      <c r="H59" s="816"/>
      <c r="I59" s="816"/>
      <c r="J59" s="816"/>
      <c r="K59" s="816"/>
      <c r="L59" s="816"/>
      <c r="M59" s="816"/>
      <c r="N59" s="816"/>
      <c r="O59" s="816"/>
    </row>
    <row r="60" spans="1:16">
      <c r="B60" s="17" t="s">
        <v>1303</v>
      </c>
      <c r="D60" s="17"/>
      <c r="K60" s="17"/>
      <c r="L60" s="17"/>
      <c r="M60" s="17"/>
      <c r="O60" s="17"/>
    </row>
    <row r="61" spans="1:16">
      <c r="B61" s="816" t="s">
        <v>1305</v>
      </c>
      <c r="C61" s="816"/>
      <c r="D61" s="816"/>
      <c r="E61" s="816"/>
      <c r="F61" s="816"/>
      <c r="G61" s="816"/>
      <c r="H61" s="816"/>
      <c r="I61" s="816"/>
      <c r="J61" s="816"/>
      <c r="K61" s="816"/>
      <c r="L61" s="816"/>
      <c r="M61" s="816"/>
      <c r="N61" s="816"/>
      <c r="O61" s="816"/>
    </row>
    <row r="62" spans="1:16">
      <c r="B62" s="815" t="s">
        <v>1294</v>
      </c>
      <c r="C62" s="815"/>
      <c r="D62" s="815"/>
      <c r="E62" s="815"/>
      <c r="F62" s="815"/>
      <c r="G62" s="815"/>
      <c r="H62" s="815"/>
      <c r="I62" s="815"/>
      <c r="J62" s="815"/>
      <c r="K62" s="815"/>
      <c r="L62" s="815"/>
      <c r="M62" s="815"/>
      <c r="N62" s="815"/>
      <c r="O62" s="815"/>
    </row>
    <row r="63" spans="1:16" ht="33" customHeight="1">
      <c r="B63" s="815" t="s">
        <v>1493</v>
      </c>
      <c r="C63" s="815"/>
      <c r="D63" s="815"/>
      <c r="E63" s="815"/>
      <c r="F63" s="815"/>
      <c r="G63" s="815"/>
      <c r="H63" s="815"/>
      <c r="I63" s="815"/>
      <c r="J63" s="815"/>
      <c r="K63" s="815"/>
      <c r="L63" s="815"/>
      <c r="M63" s="815"/>
      <c r="N63" s="5"/>
      <c r="O63" s="5"/>
    </row>
    <row r="64" spans="1:16" ht="51.75" customHeight="1">
      <c r="B64" s="815"/>
      <c r="C64" s="815"/>
      <c r="D64" s="815"/>
      <c r="E64" s="815"/>
      <c r="F64" s="815"/>
      <c r="G64" s="815"/>
      <c r="H64" s="815"/>
      <c r="I64" s="815"/>
      <c r="J64" s="815"/>
      <c r="K64" s="815"/>
      <c r="L64" s="815"/>
      <c r="M64" s="815"/>
    </row>
    <row r="65" spans="4:6">
      <c r="E65" s="390"/>
      <c r="F65" s="390"/>
    </row>
    <row r="66" spans="4:6">
      <c r="F66" s="390"/>
    </row>
    <row r="67" spans="4:6">
      <c r="D67" s="389"/>
      <c r="F67" s="380"/>
    </row>
    <row r="68" spans="4:6">
      <c r="F68" s="380"/>
    </row>
    <row r="69" spans="4:6">
      <c r="F69" s="380"/>
    </row>
    <row r="70" spans="4:6">
      <c r="F70" s="380"/>
    </row>
    <row r="71" spans="4:6">
      <c r="F71" s="380"/>
    </row>
    <row r="72" spans="4:6">
      <c r="F72" s="390"/>
    </row>
    <row r="73" spans="4:6">
      <c r="F73" s="390"/>
    </row>
    <row r="74" spans="4:6">
      <c r="D74" s="389"/>
      <c r="F74" s="390"/>
    </row>
    <row r="75" spans="4:6">
      <c r="E75" s="380"/>
      <c r="F75" s="380"/>
    </row>
    <row r="76" spans="4:6">
      <c r="F76" s="390"/>
    </row>
    <row r="77" spans="4:6">
      <c r="F77" s="390"/>
    </row>
    <row r="78" spans="4:6">
      <c r="F78" s="390"/>
    </row>
    <row r="79" spans="4:6">
      <c r="F79" s="390"/>
    </row>
    <row r="81" spans="4:4">
      <c r="D81" s="389"/>
    </row>
  </sheetData>
  <mergeCells count="6">
    <mergeCell ref="B64:M64"/>
    <mergeCell ref="B56:L56"/>
    <mergeCell ref="B59:O59"/>
    <mergeCell ref="B61:O61"/>
    <mergeCell ref="B62:O62"/>
    <mergeCell ref="B63:M63"/>
  </mergeCells>
  <printOptions horizontalCentered="1"/>
  <pageMargins left="1" right="1" top="1" bottom="1" header="0.5" footer="0.5"/>
  <pageSetup scale="54"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ignoredErrors>
    <ignoredError sqref="M56" evalError="1" listDataValidation="1" calculatedColumn="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169"/>
  <sheetViews>
    <sheetView tabSelected="1" view="pageBreakPreview" topLeftCell="A74" zoomScale="55" zoomScaleNormal="100" zoomScaleSheetLayoutView="55" zoomScalePageLayoutView="70" workbookViewId="0">
      <selection activeCell="P108" sqref="P108"/>
    </sheetView>
  </sheetViews>
  <sheetFormatPr defaultColWidth="9.1796875" defaultRowHeight="14.5"/>
  <cols>
    <col min="1" max="1" width="4.7265625" style="8" customWidth="1"/>
    <col min="2" max="2" width="2.1796875" style="8" bestFit="1" customWidth="1"/>
    <col min="3" max="3" width="72.54296875" customWidth="1"/>
    <col min="4" max="4" width="19.1796875" bestFit="1" customWidth="1"/>
    <col min="5" max="5" width="37.1796875" bestFit="1" customWidth="1"/>
    <col min="6" max="6" width="39.26953125" customWidth="1"/>
    <col min="7" max="7" width="4.54296875" bestFit="1" customWidth="1"/>
    <col min="8" max="8" width="2.7265625" customWidth="1"/>
    <col min="9" max="9" width="12.7265625" bestFit="1" customWidth="1"/>
    <col min="10" max="10" width="14.54296875" bestFit="1" customWidth="1"/>
    <col min="11" max="12" width="13.7265625" bestFit="1" customWidth="1"/>
    <col min="13" max="14" width="9.1796875" customWidth="1"/>
  </cols>
  <sheetData>
    <row r="1" spans="1:8">
      <c r="C1" s="12" t="s">
        <v>133</v>
      </c>
      <c r="E1" s="15" t="s">
        <v>164</v>
      </c>
      <c r="F1" s="47">
        <v>2024</v>
      </c>
    </row>
    <row r="2" spans="1:8">
      <c r="A2" s="14"/>
      <c r="B2" s="14"/>
      <c r="C2" s="46" t="s">
        <v>196</v>
      </c>
      <c r="E2" s="15" t="s">
        <v>128</v>
      </c>
      <c r="F2" s="14">
        <f>F1-2</f>
        <v>2022</v>
      </c>
      <c r="H2" s="15"/>
    </row>
    <row r="3" spans="1:8">
      <c r="A3" s="13"/>
      <c r="B3" s="13"/>
      <c r="F3" s="6"/>
      <c r="G3" s="13"/>
    </row>
    <row r="4" spans="1:8">
      <c r="C4" s="52" t="s">
        <v>175</v>
      </c>
      <c r="D4" s="54"/>
      <c r="E4" s="54"/>
      <c r="F4" s="54"/>
    </row>
    <row r="5" spans="1:8">
      <c r="A5" s="13" t="s">
        <v>124</v>
      </c>
      <c r="B5" s="13"/>
      <c r="C5" s="13" t="s">
        <v>129</v>
      </c>
      <c r="D5" s="13" t="s">
        <v>80</v>
      </c>
      <c r="E5" s="13" t="s">
        <v>54</v>
      </c>
      <c r="F5" s="13" t="s">
        <v>11</v>
      </c>
      <c r="G5" s="13" t="str">
        <f>A5</f>
        <v>Line</v>
      </c>
    </row>
    <row r="6" spans="1:8">
      <c r="C6" s="11" t="s">
        <v>4</v>
      </c>
    </row>
    <row r="7" spans="1:8">
      <c r="A7" s="8">
        <v>100</v>
      </c>
      <c r="C7" t="s">
        <v>1</v>
      </c>
      <c r="D7" s="32">
        <f>'7-PlantInService'!P24</f>
        <v>15658655291.088451</v>
      </c>
      <c r="E7" t="s">
        <v>1010</v>
      </c>
      <c r="F7" t="s">
        <v>161</v>
      </c>
      <c r="G7" s="8">
        <f>A7</f>
        <v>100</v>
      </c>
    </row>
    <row r="8" spans="1:8">
      <c r="A8" s="8">
        <f>A7+1</f>
        <v>101</v>
      </c>
      <c r="C8" t="s">
        <v>2</v>
      </c>
      <c r="D8" s="32">
        <f>'7-PlantInService'!D128</f>
        <v>1466646066.3247118</v>
      </c>
      <c r="E8" t="s">
        <v>1011</v>
      </c>
      <c r="F8" t="s">
        <v>161</v>
      </c>
      <c r="G8" s="8">
        <f>A8</f>
        <v>101</v>
      </c>
    </row>
    <row r="9" spans="1:8">
      <c r="A9" s="8">
        <f t="shared" ref="A9:A10" si="0">A8+1</f>
        <v>102</v>
      </c>
      <c r="C9" t="s">
        <v>3</v>
      </c>
      <c r="D9" s="26">
        <f ca="1">+'8-AbandonedPlant'!M14</f>
        <v>0</v>
      </c>
      <c r="E9" t="s">
        <v>1728</v>
      </c>
      <c r="F9" t="s">
        <v>161</v>
      </c>
      <c r="G9" s="8">
        <f>A9</f>
        <v>102</v>
      </c>
    </row>
    <row r="10" spans="1:8">
      <c r="A10" s="8">
        <f t="shared" si="0"/>
        <v>103</v>
      </c>
      <c r="C10" s="12" t="s">
        <v>12</v>
      </c>
      <c r="D10" s="68">
        <f ca="1">+D7+D8+D9</f>
        <v>17125301357.413162</v>
      </c>
      <c r="E10" s="6" t="str">
        <f>"Sum of Lines "&amp;A7&amp;" to "&amp;A9&amp;""</f>
        <v>Sum of Lines 100 to 102</v>
      </c>
      <c r="G10" s="8">
        <f>A10</f>
        <v>103</v>
      </c>
    </row>
    <row r="12" spans="1:8">
      <c r="C12" s="11" t="s">
        <v>5</v>
      </c>
    </row>
    <row r="13" spans="1:8">
      <c r="A13" s="8">
        <f>A10+1</f>
        <v>104</v>
      </c>
      <c r="C13" t="s">
        <v>6</v>
      </c>
      <c r="D13" s="32">
        <f>'13-WorkCap'!E25</f>
        <v>107423252.17511886</v>
      </c>
      <c r="E13" t="s">
        <v>1012</v>
      </c>
      <c r="F13" t="s">
        <v>161</v>
      </c>
      <c r="G13" s="8">
        <f>A13</f>
        <v>104</v>
      </c>
    </row>
    <row r="14" spans="1:8">
      <c r="A14" s="8">
        <f>A13+1</f>
        <v>105</v>
      </c>
      <c r="C14" t="s">
        <v>144</v>
      </c>
      <c r="D14" s="32">
        <f>'13-WorkCap'!F60</f>
        <v>64247105</v>
      </c>
      <c r="E14" t="s">
        <v>1013</v>
      </c>
      <c r="F14" t="s">
        <v>161</v>
      </c>
      <c r="G14" s="8">
        <f>A14</f>
        <v>105</v>
      </c>
    </row>
    <row r="15" spans="1:8">
      <c r="A15" s="8">
        <f t="shared" ref="A15:A16" si="1">A14+1</f>
        <v>106</v>
      </c>
      <c r="C15" t="s">
        <v>7</v>
      </c>
      <c r="D15" s="26">
        <f>(D125+D126)/10</f>
        <v>94439920.822499648</v>
      </c>
      <c r="E15" t="str">
        <f>"(Line "&amp;A125&amp;" + Line "&amp;A126&amp;") / 10"</f>
        <v>(Line 500 + Line 501) / 10</v>
      </c>
      <c r="G15" s="8">
        <f>A15</f>
        <v>106</v>
      </c>
    </row>
    <row r="16" spans="1:8">
      <c r="A16" s="8">
        <f t="shared" si="1"/>
        <v>107</v>
      </c>
      <c r="C16" s="12" t="s">
        <v>13</v>
      </c>
      <c r="D16" s="68">
        <f>+D13+D15+D14</f>
        <v>266110277.9976185</v>
      </c>
      <c r="E16" s="6" t="str">
        <f>"Sum of Lines "&amp;A13&amp;" to "&amp;A15&amp;""</f>
        <v>Sum of Lines 104 to 106</v>
      </c>
      <c r="G16" s="8">
        <f>A16</f>
        <v>107</v>
      </c>
    </row>
    <row r="18" spans="1:8">
      <c r="C18" s="11" t="s">
        <v>9</v>
      </c>
    </row>
    <row r="19" spans="1:8">
      <c r="A19" s="8">
        <f>A16+1</f>
        <v>108</v>
      </c>
      <c r="C19" t="s">
        <v>8</v>
      </c>
      <c r="D19" s="32">
        <f>-'10-AccDep'!P26</f>
        <v>-3674552227.2916818</v>
      </c>
      <c r="E19" t="s">
        <v>1014</v>
      </c>
      <c r="F19" t="s">
        <v>1007</v>
      </c>
      <c r="G19" s="8">
        <f>A19</f>
        <v>108</v>
      </c>
    </row>
    <row r="20" spans="1:8">
      <c r="A20" s="8">
        <f>A19+1</f>
        <v>109</v>
      </c>
      <c r="C20" t="s">
        <v>17</v>
      </c>
      <c r="D20" s="26">
        <f>-'10-AccDep'!D128</f>
        <v>-524616275.48762077</v>
      </c>
      <c r="E20" t="s">
        <v>1015</v>
      </c>
      <c r="F20" t="s">
        <v>1007</v>
      </c>
      <c r="G20" s="8">
        <f>A20</f>
        <v>109</v>
      </c>
    </row>
    <row r="21" spans="1:8">
      <c r="A21" s="8">
        <f>A20+1</f>
        <v>110</v>
      </c>
      <c r="C21" s="12" t="s">
        <v>14</v>
      </c>
      <c r="D21" s="68">
        <f>+D19+D20</f>
        <v>-4199168502.7793026</v>
      </c>
      <c r="E21" t="str">
        <f>"Line "&amp;A19&amp;" + Line "&amp;A20&amp;""</f>
        <v>Line 108 + Line 109</v>
      </c>
      <c r="G21" s="8">
        <f>A21</f>
        <v>110</v>
      </c>
    </row>
    <row r="23" spans="1:8">
      <c r="A23" s="8">
        <f>A21+1</f>
        <v>111</v>
      </c>
      <c r="B23" s="14" t="s">
        <v>1510</v>
      </c>
      <c r="C23" s="14" t="s">
        <v>10</v>
      </c>
      <c r="D23" s="32">
        <f>'14-ADIT'!D13</f>
        <v>-1565836048.5595448</v>
      </c>
      <c r="E23" t="s">
        <v>1350</v>
      </c>
      <c r="F23" t="s">
        <v>161</v>
      </c>
      <c r="G23" s="8">
        <f t="shared" ref="G23:G28" si="2">A23</f>
        <v>111</v>
      </c>
      <c r="H23" s="12" t="s">
        <v>1510</v>
      </c>
    </row>
    <row r="24" spans="1:8">
      <c r="A24" s="8">
        <v>111</v>
      </c>
      <c r="B24" s="14" t="s">
        <v>1511</v>
      </c>
      <c r="C24" s="201" t="s">
        <v>1733</v>
      </c>
      <c r="D24" s="26">
        <f>'17-RegAssets-1'!C47</f>
        <v>-513953807.01430571</v>
      </c>
      <c r="E24" t="s">
        <v>1578</v>
      </c>
      <c r="F24" t="s">
        <v>161</v>
      </c>
      <c r="G24" s="8">
        <f t="shared" si="2"/>
        <v>111</v>
      </c>
      <c r="H24" s="12" t="s">
        <v>1511</v>
      </c>
    </row>
    <row r="25" spans="1:8">
      <c r="A25" s="8">
        <v>111</v>
      </c>
      <c r="B25" s="14" t="s">
        <v>1512</v>
      </c>
      <c r="C25" s="201" t="s">
        <v>1734</v>
      </c>
      <c r="D25" s="68">
        <f>+D23+D24</f>
        <v>-2079789855.5738506</v>
      </c>
      <c r="E25" t="str">
        <f>"Line "&amp;A23&amp;"a + Line "&amp;A24&amp;"b"</f>
        <v>Line 111a + Line 111b</v>
      </c>
      <c r="F25" t="s">
        <v>161</v>
      </c>
      <c r="G25" s="8">
        <f t="shared" si="2"/>
        <v>111</v>
      </c>
      <c r="H25" s="12" t="s">
        <v>1512</v>
      </c>
    </row>
    <row r="26" spans="1:8">
      <c r="A26" s="8">
        <f>A23+1</f>
        <v>112</v>
      </c>
      <c r="C26" s="12" t="s">
        <v>229</v>
      </c>
      <c r="D26" s="32">
        <f>-'15-NUC'!C12</f>
        <v>-159139744.63</v>
      </c>
      <c r="E26" t="s">
        <v>1016</v>
      </c>
      <c r="F26" t="s">
        <v>1007</v>
      </c>
      <c r="G26" s="8">
        <f t="shared" si="2"/>
        <v>112</v>
      </c>
    </row>
    <row r="27" spans="1:8">
      <c r="A27" s="8">
        <f>A26+1</f>
        <v>113</v>
      </c>
      <c r="C27" s="12" t="s">
        <v>1452</v>
      </c>
      <c r="D27" s="32">
        <f>'16-UnfundedReserves'!E6</f>
        <v>-131293247.62614582</v>
      </c>
      <c r="E27" t="s">
        <v>1612</v>
      </c>
      <c r="F27" t="s">
        <v>161</v>
      </c>
      <c r="G27" s="8">
        <f t="shared" si="2"/>
        <v>113</v>
      </c>
    </row>
    <row r="28" spans="1:8">
      <c r="A28" s="8">
        <f>A27+1</f>
        <v>114</v>
      </c>
      <c r="C28" s="12" t="s">
        <v>16</v>
      </c>
      <c r="D28" s="32">
        <f>'17-RegAssets-1'!E25</f>
        <v>0</v>
      </c>
      <c r="E28" t="s">
        <v>1623</v>
      </c>
      <c r="F28" t="s">
        <v>161</v>
      </c>
      <c r="G28" s="8">
        <f t="shared" si="2"/>
        <v>114</v>
      </c>
    </row>
    <row r="29" spans="1:8">
      <c r="D29" s="32"/>
      <c r="G29" s="8"/>
    </row>
    <row r="30" spans="1:8">
      <c r="A30" s="8">
        <f>A28+1</f>
        <v>115</v>
      </c>
      <c r="C30" s="12" t="s">
        <v>0</v>
      </c>
      <c r="D30" s="68">
        <f ca="1">+D10+D16+D21+D25+D26+D28+D27</f>
        <v>10822020284.801483</v>
      </c>
      <c r="E30" t="str">
        <f>"Sum of Lines "&amp;A10&amp;", "&amp;A16&amp;", "&amp;A21&amp;" and Lines "&amp;A25&amp;B25&amp;" to "&amp;A28&amp;""</f>
        <v>Sum of Lines 103, 107, 110 and Lines 111c to 114</v>
      </c>
      <c r="G30" s="8">
        <f>A30</f>
        <v>115</v>
      </c>
    </row>
    <row r="31" spans="1:8">
      <c r="D31" s="17"/>
      <c r="G31" s="8"/>
    </row>
    <row r="32" spans="1:8">
      <c r="C32" s="52" t="s">
        <v>176</v>
      </c>
      <c r="D32" s="54"/>
      <c r="E32" s="54"/>
      <c r="F32" s="54"/>
    </row>
    <row r="33" spans="1:7">
      <c r="A33" s="13" t="s">
        <v>124</v>
      </c>
      <c r="B33" s="13"/>
      <c r="C33" s="13" t="s">
        <v>129</v>
      </c>
      <c r="D33" s="13" t="s">
        <v>80</v>
      </c>
      <c r="E33" s="13" t="s">
        <v>54</v>
      </c>
      <c r="F33" s="13" t="s">
        <v>11</v>
      </c>
      <c r="G33" s="13" t="str">
        <f>A33</f>
        <v>Line</v>
      </c>
    </row>
    <row r="34" spans="1:7">
      <c r="C34" s="11" t="s">
        <v>30</v>
      </c>
    </row>
    <row r="35" spans="1:7">
      <c r="A35" s="8">
        <v>200</v>
      </c>
      <c r="C35" t="s">
        <v>31</v>
      </c>
      <c r="D35" s="788">
        <f>'5-CostofCap-1'!D16</f>
        <v>43963518200.504662</v>
      </c>
      <c r="E35" t="s">
        <v>1017</v>
      </c>
      <c r="G35" s="8">
        <f>A35</f>
        <v>200</v>
      </c>
    </row>
    <row r="36" spans="1:7">
      <c r="A36" s="8">
        <f>A35+1</f>
        <v>201</v>
      </c>
      <c r="C36" t="s">
        <v>32</v>
      </c>
      <c r="D36" s="411">
        <f>'5-CostofCap-3'!F24</f>
        <v>3.9399999999999998E-2</v>
      </c>
      <c r="E36" t="s">
        <v>1351</v>
      </c>
      <c r="G36" s="8">
        <f>A36</f>
        <v>201</v>
      </c>
    </row>
    <row r="37" spans="1:7">
      <c r="A37" s="8">
        <f>A36+1</f>
        <v>202</v>
      </c>
      <c r="C37" s="12" t="s">
        <v>33</v>
      </c>
      <c r="D37" s="68">
        <f>D35*D36</f>
        <v>1732162617.0998836</v>
      </c>
      <c r="E37" t="str">
        <f>"Line "&amp;A35&amp;" * Line "&amp;A36&amp;""</f>
        <v>Line 200 * Line 201</v>
      </c>
      <c r="G37" s="8">
        <f>A37</f>
        <v>202</v>
      </c>
    </row>
    <row r="39" spans="1:7">
      <c r="C39" s="11" t="s">
        <v>34</v>
      </c>
    </row>
    <row r="40" spans="1:7">
      <c r="A40" s="8">
        <f>A37+1</f>
        <v>203</v>
      </c>
      <c r="C40" t="s">
        <v>35</v>
      </c>
      <c r="D40" s="32">
        <f>'5-CostofCap-1'!D22</f>
        <v>252054300.31999999</v>
      </c>
      <c r="E40" t="s">
        <v>1018</v>
      </c>
      <c r="G40" s="8">
        <f>A40</f>
        <v>203</v>
      </c>
    </row>
    <row r="41" spans="1:7">
      <c r="A41" s="8">
        <f>A40+1</f>
        <v>204</v>
      </c>
      <c r="C41" t="s">
        <v>37</v>
      </c>
      <c r="D41" s="41">
        <f>'5-CostofCap-4'!E14</f>
        <v>5.5211589517762859E-2</v>
      </c>
      <c r="E41" t="s">
        <v>1019</v>
      </c>
      <c r="G41" s="8">
        <f>A41</f>
        <v>204</v>
      </c>
    </row>
    <row r="42" spans="1:7">
      <c r="A42" s="8">
        <f>A41+1</f>
        <v>205</v>
      </c>
      <c r="C42" s="12" t="s">
        <v>36</v>
      </c>
      <c r="D42" s="68">
        <f>D40*D41</f>
        <v>13916318.565454762</v>
      </c>
      <c r="E42" t="str">
        <f>"Line "&amp;A40&amp;" * Line "&amp;A41&amp;""</f>
        <v>Line 203 * Line 204</v>
      </c>
      <c r="G42" s="8">
        <f>A42</f>
        <v>205</v>
      </c>
    </row>
    <row r="44" spans="1:7">
      <c r="C44" s="11" t="s">
        <v>38</v>
      </c>
    </row>
    <row r="45" spans="1:7">
      <c r="A45" s="8">
        <f>A42+1</f>
        <v>206</v>
      </c>
      <c r="C45" t="s">
        <v>39</v>
      </c>
      <c r="D45" s="788">
        <f>'5-CostofCap-1'!D30</f>
        <v>29646672631.43</v>
      </c>
      <c r="E45" t="s">
        <v>1020</v>
      </c>
      <c r="G45" s="8">
        <f>A45</f>
        <v>206</v>
      </c>
    </row>
    <row r="46" spans="1:7">
      <c r="G46" s="8"/>
    </row>
    <row r="47" spans="1:7">
      <c r="A47" s="8">
        <f>A45+1</f>
        <v>207</v>
      </c>
      <c r="C47" s="12" t="s">
        <v>40</v>
      </c>
      <c r="D47" s="68">
        <f>D35+D40+D45</f>
        <v>73862245132.254669</v>
      </c>
      <c r="E47" t="str">
        <f>"Line "&amp;A35&amp;" + Line "&amp;A40&amp;" + Line "&amp;A45&amp;""</f>
        <v>Line 200 + Line 203 + Line 206</v>
      </c>
      <c r="G47" s="8">
        <f>A47</f>
        <v>207</v>
      </c>
    </row>
    <row r="49" spans="1:7">
      <c r="C49" s="11" t="s">
        <v>41</v>
      </c>
    </row>
    <row r="50" spans="1:7">
      <c r="A50" s="8">
        <f>A47+1</f>
        <v>208</v>
      </c>
      <c r="C50" t="s">
        <v>42</v>
      </c>
      <c r="D50" s="28">
        <v>0.4975</v>
      </c>
      <c r="E50" s="17" t="s">
        <v>1710</v>
      </c>
      <c r="F50" s="17" t="s">
        <v>1646</v>
      </c>
      <c r="G50" s="8">
        <f>A50</f>
        <v>208</v>
      </c>
    </row>
    <row r="51" spans="1:7">
      <c r="A51" s="8">
        <f>A50+1</f>
        <v>209</v>
      </c>
      <c r="C51" t="s">
        <v>43</v>
      </c>
      <c r="D51" s="28">
        <v>5.0000000000000001E-3</v>
      </c>
      <c r="E51" s="17" t="s">
        <v>1711</v>
      </c>
      <c r="F51" s="17" t="s">
        <v>1646</v>
      </c>
      <c r="G51" s="8">
        <f>A51</f>
        <v>209</v>
      </c>
    </row>
    <row r="52" spans="1:7">
      <c r="A52" s="8">
        <f>A51+1</f>
        <v>210</v>
      </c>
      <c r="C52" t="s">
        <v>44</v>
      </c>
      <c r="D52" s="28">
        <v>0.4975</v>
      </c>
      <c r="E52" s="17" t="s">
        <v>1710</v>
      </c>
      <c r="F52" s="17" t="s">
        <v>1646</v>
      </c>
      <c r="G52" s="8">
        <f>A52</f>
        <v>210</v>
      </c>
    </row>
    <row r="54" spans="1:7">
      <c r="C54" s="11" t="s">
        <v>45</v>
      </c>
      <c r="G54" s="8"/>
    </row>
    <row r="55" spans="1:7">
      <c r="A55" s="8">
        <f>A52+1</f>
        <v>211</v>
      </c>
      <c r="C55" t="s">
        <v>46</v>
      </c>
      <c r="D55" s="31">
        <f>D36</f>
        <v>3.9399999999999998E-2</v>
      </c>
      <c r="E55" t="str">
        <f>"Line "&amp;A36&amp;""</f>
        <v>Line 201</v>
      </c>
      <c r="G55" s="8">
        <f>A55</f>
        <v>211</v>
      </c>
    </row>
    <row r="56" spans="1:7">
      <c r="A56" s="8">
        <f>A55+1</f>
        <v>212</v>
      </c>
      <c r="C56" t="s">
        <v>37</v>
      </c>
      <c r="D56" s="31">
        <f>D41</f>
        <v>5.5211589517762859E-2</v>
      </c>
      <c r="E56" t="str">
        <f>"Line "&amp;A41&amp;""</f>
        <v>Line 204</v>
      </c>
      <c r="G56" s="8">
        <f>A56</f>
        <v>212</v>
      </c>
    </row>
    <row r="57" spans="1:7">
      <c r="D57" s="31"/>
      <c r="G57" s="8"/>
    </row>
    <row r="58" spans="1:7">
      <c r="A58" s="8">
        <f>A56+1</f>
        <v>213</v>
      </c>
      <c r="C58" s="12" t="s">
        <v>1340</v>
      </c>
      <c r="D58" s="505">
        <f>D59+D60</f>
        <v>0.1045</v>
      </c>
      <c r="E58" t="s">
        <v>1342</v>
      </c>
      <c r="G58" s="8">
        <f>A58</f>
        <v>213</v>
      </c>
    </row>
    <row r="59" spans="1:7">
      <c r="A59" s="8">
        <f t="shared" ref="A59:A60" si="3">A58+1</f>
        <v>214</v>
      </c>
      <c r="C59" t="s">
        <v>1341</v>
      </c>
      <c r="D59" s="29">
        <v>0.1045</v>
      </c>
      <c r="E59" t="s">
        <v>244</v>
      </c>
      <c r="F59" s="17" t="s">
        <v>125</v>
      </c>
      <c r="G59" s="8">
        <f>A59</f>
        <v>214</v>
      </c>
    </row>
    <row r="60" spans="1:7">
      <c r="A60" s="8">
        <f t="shared" si="3"/>
        <v>215</v>
      </c>
      <c r="C60" t="s">
        <v>1343</v>
      </c>
      <c r="D60" s="29">
        <v>0</v>
      </c>
      <c r="F60" t="s">
        <v>126</v>
      </c>
      <c r="G60" s="8">
        <f>A60</f>
        <v>215</v>
      </c>
    </row>
    <row r="62" spans="1:7">
      <c r="C62" s="11" t="s">
        <v>47</v>
      </c>
    </row>
    <row r="63" spans="1:7">
      <c r="A63" s="8">
        <f>A60+1</f>
        <v>216</v>
      </c>
      <c r="C63" t="s">
        <v>48</v>
      </c>
      <c r="D63" s="28">
        <f>D50*D55</f>
        <v>1.9601499999999997E-2</v>
      </c>
      <c r="E63" t="str">
        <f>"Line "&amp;A50&amp;" * Line "&amp;A55&amp;""</f>
        <v>Line 208 * Line 211</v>
      </c>
      <c r="G63" s="8">
        <f>A63</f>
        <v>216</v>
      </c>
    </row>
    <row r="64" spans="1:7">
      <c r="A64" s="8">
        <f>A63+1</f>
        <v>217</v>
      </c>
      <c r="C64" t="s">
        <v>49</v>
      </c>
      <c r="D64" s="28">
        <f>D51*D56</f>
        <v>2.7605794758881429E-4</v>
      </c>
      <c r="E64" t="str">
        <f>"Line "&amp;A51&amp;" * Line "&amp;A56&amp;""</f>
        <v>Line 209 * Line 212</v>
      </c>
      <c r="G64" s="8">
        <f>A64</f>
        <v>217</v>
      </c>
    </row>
    <row r="65" spans="1:7">
      <c r="A65" s="8">
        <f>A64+1</f>
        <v>218</v>
      </c>
      <c r="C65" t="s">
        <v>50</v>
      </c>
      <c r="D65" s="34">
        <f>D52*D58</f>
        <v>5.198875E-2</v>
      </c>
      <c r="E65" t="str">
        <f>"Line "&amp;A52&amp;" * Line "&amp;A58&amp;""</f>
        <v>Line 210 * Line 213</v>
      </c>
      <c r="G65" s="8">
        <f>A65</f>
        <v>218</v>
      </c>
    </row>
    <row r="66" spans="1:7">
      <c r="A66" s="8">
        <f>A65+1</f>
        <v>219</v>
      </c>
      <c r="C66" s="12" t="s">
        <v>51</v>
      </c>
      <c r="D66" s="371">
        <f>SUM(D63:D65)</f>
        <v>7.1866307947588803E-2</v>
      </c>
      <c r="E66" s="6" t="str">
        <f>"Sum of Lines "&amp;A63&amp;" to "&amp;A65&amp;""</f>
        <v>Sum of Lines 216 to 218</v>
      </c>
      <c r="G66" s="8">
        <f>A66</f>
        <v>219</v>
      </c>
    </row>
    <row r="68" spans="1:7">
      <c r="A68" s="8">
        <f>A66+1</f>
        <v>220</v>
      </c>
      <c r="C68" s="12" t="s">
        <v>52</v>
      </c>
      <c r="D68" s="31">
        <f>D64+D65</f>
        <v>5.2264807947588816E-2</v>
      </c>
      <c r="E68" t="str">
        <f>"Line "&amp;A64&amp;" + Line "&amp;A65&amp;""</f>
        <v>Line 217 + Line 218</v>
      </c>
      <c r="F68" s="17"/>
      <c r="G68" s="8">
        <f>A68</f>
        <v>220</v>
      </c>
    </row>
    <row r="69" spans="1:7">
      <c r="A69" s="8">
        <f>A68+1</f>
        <v>221</v>
      </c>
      <c r="C69" s="12" t="s">
        <v>1428</v>
      </c>
      <c r="D69" s="31">
        <f>D60*D52</f>
        <v>0</v>
      </c>
      <c r="E69" t="str">
        <f>"Line "&amp;A52&amp;" * Line "&amp;A60&amp;""</f>
        <v>Line 210 * Line 215</v>
      </c>
      <c r="F69" s="17"/>
      <c r="G69" s="8">
        <f>A69</f>
        <v>221</v>
      </c>
    </row>
    <row r="70" spans="1:7">
      <c r="G70" s="8"/>
    </row>
    <row r="71" spans="1:7">
      <c r="A71" s="8">
        <f>A69+1</f>
        <v>222</v>
      </c>
      <c r="C71" t="s">
        <v>53</v>
      </c>
      <c r="D71" s="32">
        <f ca="1">D66*D30</f>
        <v>777738642.40259612</v>
      </c>
      <c r="E71" t="str">
        <f>"Line "&amp;A66&amp;" * Line "&amp;A30&amp;""</f>
        <v>Line 219 * Line 115</v>
      </c>
      <c r="G71" s="8">
        <f>A71</f>
        <v>222</v>
      </c>
    </row>
    <row r="72" spans="1:7">
      <c r="A72" s="8">
        <f>A71+1</f>
        <v>223</v>
      </c>
      <c r="C72" t="s">
        <v>1430</v>
      </c>
      <c r="D72" s="32">
        <f ca="1">D69*D9</f>
        <v>0</v>
      </c>
      <c r="E72" t="str">
        <f>"Line "&amp;A9&amp;" * Line "&amp;A69&amp;""</f>
        <v>Line 102 * Line 221</v>
      </c>
      <c r="G72" s="8">
        <f>A72</f>
        <v>223</v>
      </c>
    </row>
    <row r="73" spans="1:7">
      <c r="A73" s="8">
        <f>A72+1</f>
        <v>224</v>
      </c>
      <c r="C73" s="12" t="s">
        <v>1429</v>
      </c>
      <c r="D73" s="68">
        <f ca="1">D71-D72</f>
        <v>777738642.40259612</v>
      </c>
      <c r="E73" t="str">
        <f>"Line "&amp;A71&amp;" - Line "&amp;A72&amp;""</f>
        <v>Line 222 - Line 223</v>
      </c>
      <c r="G73" s="8">
        <f>A73</f>
        <v>224</v>
      </c>
    </row>
    <row r="75" spans="1:7">
      <c r="C75" s="52" t="s">
        <v>177</v>
      </c>
      <c r="D75" s="54"/>
      <c r="E75" s="54"/>
      <c r="F75" s="54"/>
    </row>
    <row r="76" spans="1:7">
      <c r="A76" s="13" t="s">
        <v>124</v>
      </c>
      <c r="B76" s="13"/>
      <c r="C76" s="13" t="s">
        <v>129</v>
      </c>
      <c r="D76" s="13" t="s">
        <v>80</v>
      </c>
      <c r="E76" s="13" t="s">
        <v>54</v>
      </c>
      <c r="F76" s="13" t="s">
        <v>11</v>
      </c>
      <c r="G76" s="13" t="str">
        <f>A76</f>
        <v>Line</v>
      </c>
    </row>
    <row r="77" spans="1:7">
      <c r="C77" s="11" t="s">
        <v>19</v>
      </c>
    </row>
    <row r="78" spans="1:7">
      <c r="A78" s="8">
        <v>300</v>
      </c>
      <c r="C78" t="s">
        <v>20</v>
      </c>
      <c r="D78" s="51">
        <v>435557101</v>
      </c>
      <c r="E78" s="17" t="s">
        <v>1966</v>
      </c>
      <c r="G78" s="8">
        <f>A78</f>
        <v>300</v>
      </c>
    </row>
    <row r="79" spans="1:7">
      <c r="A79" s="8">
        <f>A78+1</f>
        <v>301</v>
      </c>
      <c r="C79" t="s">
        <v>191</v>
      </c>
      <c r="D79" s="41">
        <f>'24-Allocators'!C64</f>
        <v>0.29047249215759252</v>
      </c>
      <c r="E79" s="17" t="s">
        <v>1700</v>
      </c>
      <c r="G79" s="8">
        <f>A79</f>
        <v>301</v>
      </c>
    </row>
    <row r="80" spans="1:7">
      <c r="A80" s="8">
        <f>A79+1</f>
        <v>302</v>
      </c>
      <c r="C80" s="12" t="s">
        <v>29</v>
      </c>
      <c r="D80" s="68">
        <f>+D78*D79</f>
        <v>126517356.60440624</v>
      </c>
      <c r="E80" s="17" t="str">
        <f>"Line "&amp;A78&amp;" * Line "&amp;A79&amp;""</f>
        <v>Line 300 * Line 301</v>
      </c>
      <c r="G80" s="8">
        <f>A80</f>
        <v>302</v>
      </c>
    </row>
    <row r="81" spans="1:7">
      <c r="E81" s="17"/>
    </row>
    <row r="82" spans="1:7">
      <c r="C82" s="11" t="s">
        <v>21</v>
      </c>
      <c r="E82" s="17"/>
    </row>
    <row r="83" spans="1:7">
      <c r="A83" s="8">
        <f>A80+1</f>
        <v>303</v>
      </c>
      <c r="C83" t="s">
        <v>22</v>
      </c>
      <c r="D83" s="669">
        <v>102974934</v>
      </c>
      <c r="E83" s="17" t="s">
        <v>1967</v>
      </c>
      <c r="G83" s="8">
        <f t="shared" ref="G83:G88" si="4">A83</f>
        <v>303</v>
      </c>
    </row>
    <row r="84" spans="1:7">
      <c r="A84" s="8">
        <f>A83+1</f>
        <v>304</v>
      </c>
      <c r="C84" t="s">
        <v>23</v>
      </c>
      <c r="D84" s="669">
        <v>3527350</v>
      </c>
      <c r="E84" s="17" t="s">
        <v>1968</v>
      </c>
      <c r="G84" s="8">
        <f t="shared" si="4"/>
        <v>304</v>
      </c>
    </row>
    <row r="85" spans="1:7">
      <c r="A85" s="8">
        <f>A84+1</f>
        <v>305</v>
      </c>
      <c r="C85" t="s">
        <v>24</v>
      </c>
      <c r="D85" s="669">
        <v>814104</v>
      </c>
      <c r="E85" s="17" t="s">
        <v>1969</v>
      </c>
      <c r="G85" s="8">
        <f t="shared" si="4"/>
        <v>305</v>
      </c>
    </row>
    <row r="86" spans="1:7">
      <c r="A86" s="8">
        <f t="shared" ref="A86:A91" si="5">A85+1</f>
        <v>306</v>
      </c>
      <c r="C86" t="s">
        <v>159</v>
      </c>
      <c r="D86" s="669">
        <v>28924750</v>
      </c>
      <c r="E86" t="s">
        <v>1306</v>
      </c>
      <c r="F86" s="17" t="s">
        <v>1970</v>
      </c>
      <c r="G86" s="8">
        <f t="shared" si="4"/>
        <v>306</v>
      </c>
    </row>
    <row r="87" spans="1:7">
      <c r="A87" s="8">
        <f t="shared" si="5"/>
        <v>307</v>
      </c>
      <c r="C87" t="s">
        <v>25</v>
      </c>
      <c r="D87" s="791">
        <v>0</v>
      </c>
      <c r="E87" t="s">
        <v>1963</v>
      </c>
      <c r="F87" s="17" t="s">
        <v>1970</v>
      </c>
      <c r="G87" s="8">
        <f t="shared" si="4"/>
        <v>307</v>
      </c>
    </row>
    <row r="88" spans="1:7">
      <c r="A88" s="8">
        <f t="shared" si="5"/>
        <v>308</v>
      </c>
      <c r="C88" s="12" t="s">
        <v>26</v>
      </c>
      <c r="D88" s="68">
        <f>SUM(D83:D87)</f>
        <v>136241138</v>
      </c>
      <c r="E88" s="6" t="str">
        <f>"Sum of Lines "&amp;A83&amp;" to "&amp;A87&amp;""</f>
        <v>Sum of Lines 303 to 307</v>
      </c>
      <c r="G88" s="8">
        <f t="shared" si="4"/>
        <v>308</v>
      </c>
    </row>
    <row r="90" spans="1:7">
      <c r="A90" s="8">
        <f>A88+1</f>
        <v>309</v>
      </c>
      <c r="C90" t="s">
        <v>183</v>
      </c>
      <c r="D90" s="31">
        <f>'24-Allocators'!C23</f>
        <v>0.13539553206179952</v>
      </c>
      <c r="E90" t="s">
        <v>1021</v>
      </c>
      <c r="G90" s="8">
        <f>A90</f>
        <v>309</v>
      </c>
    </row>
    <row r="91" spans="1:7">
      <c r="A91" s="8">
        <f t="shared" si="5"/>
        <v>310</v>
      </c>
      <c r="C91" s="12" t="s">
        <v>28</v>
      </c>
      <c r="D91" s="68">
        <f>D88*D90</f>
        <v>18446441.368215054</v>
      </c>
      <c r="E91" s="17" t="str">
        <f>"Line "&amp;A90&amp;" *  Line "&amp;A88&amp;""</f>
        <v>Line 309 *  Line 308</v>
      </c>
      <c r="G91" s="8">
        <f>A91</f>
        <v>310</v>
      </c>
    </row>
    <row r="93" spans="1:7">
      <c r="A93" s="8">
        <f>A91+1</f>
        <v>311</v>
      </c>
      <c r="C93" s="12" t="s">
        <v>27</v>
      </c>
      <c r="D93" s="68">
        <f>D91+D80</f>
        <v>144963797.97262129</v>
      </c>
      <c r="E93" t="str">
        <f>"Line "&amp;A80&amp;" + Line "&amp;A91&amp;""</f>
        <v>Line 302 + Line 310</v>
      </c>
      <c r="F93" s="43"/>
      <c r="G93" s="8">
        <f>A93</f>
        <v>311</v>
      </c>
    </row>
    <row r="95" spans="1:7">
      <c r="A95"/>
      <c r="B95"/>
      <c r="C95" s="52" t="s">
        <v>178</v>
      </c>
      <c r="D95" s="54"/>
      <c r="E95" s="54"/>
      <c r="F95" s="54"/>
    </row>
    <row r="96" spans="1:7">
      <c r="A96" s="13" t="s">
        <v>124</v>
      </c>
      <c r="B96" s="13"/>
      <c r="C96" s="13" t="s">
        <v>129</v>
      </c>
      <c r="D96" s="13"/>
      <c r="E96" s="13" t="s">
        <v>54</v>
      </c>
      <c r="F96" s="13" t="s">
        <v>11</v>
      </c>
      <c r="G96" s="13" t="str">
        <f>A96</f>
        <v>Line</v>
      </c>
    </row>
    <row r="97" spans="1:7">
      <c r="A97" s="8">
        <v>400</v>
      </c>
      <c r="C97" t="s">
        <v>56</v>
      </c>
      <c r="D97" s="31">
        <f>'22-TaxRates'!C6</f>
        <v>0.21</v>
      </c>
      <c r="E97" t="s">
        <v>1022</v>
      </c>
      <c r="G97" s="8">
        <f>A97</f>
        <v>400</v>
      </c>
    </row>
    <row r="98" spans="1:7">
      <c r="A98" s="8">
        <f>A97+1</f>
        <v>401</v>
      </c>
      <c r="C98" t="s">
        <v>57</v>
      </c>
      <c r="D98" s="34">
        <f>'22-TaxRates'!C7</f>
        <v>8.8400000000000006E-2</v>
      </c>
      <c r="E98" t="s">
        <v>1023</v>
      </c>
      <c r="G98" s="8">
        <f>A98</f>
        <v>401</v>
      </c>
    </row>
    <row r="99" spans="1:7">
      <c r="A99" s="8">
        <f>A98+1</f>
        <v>402</v>
      </c>
      <c r="C99" s="12" t="s">
        <v>58</v>
      </c>
      <c r="D99" s="371">
        <f>(D97+D98)-(D97*D98)</f>
        <v>0.27983599999999997</v>
      </c>
      <c r="E99" s="17" t="str">
        <f>"(Line "&amp;A97&amp;" + Line "&amp;A98&amp;") - (Line "&amp;A97&amp;" * Line "&amp;A98&amp;")"</f>
        <v>(Line 400 + Line 401) - (Line 400 * Line 401)</v>
      </c>
      <c r="G99" s="8">
        <f>A99</f>
        <v>402</v>
      </c>
    </row>
    <row r="101" spans="1:7">
      <c r="C101" s="11" t="s">
        <v>241</v>
      </c>
      <c r="G101" s="8"/>
    </row>
    <row r="102" spans="1:7">
      <c r="A102" s="8">
        <f>A99+1</f>
        <v>403</v>
      </c>
      <c r="C102" t="s">
        <v>136</v>
      </c>
      <c r="D102" s="792">
        <v>11232945.326774467</v>
      </c>
      <c r="E102" s="445" t="s">
        <v>1718</v>
      </c>
      <c r="G102" s="8">
        <f>A102</f>
        <v>403</v>
      </c>
    </row>
    <row r="103" spans="1:7">
      <c r="A103" s="8">
        <f>A102+1</f>
        <v>404</v>
      </c>
      <c r="C103" s="12" t="s">
        <v>140</v>
      </c>
      <c r="D103" s="536">
        <f>SUM(D102:D102)</f>
        <v>11232945.326774467</v>
      </c>
      <c r="E103" t="str">
        <f>"Line "&amp;A102&amp;""</f>
        <v>Line 403</v>
      </c>
      <c r="G103" s="8">
        <f>A103</f>
        <v>404</v>
      </c>
    </row>
    <row r="104" spans="1:7">
      <c r="D104" s="21"/>
      <c r="G104" s="8"/>
    </row>
    <row r="105" spans="1:7">
      <c r="C105" s="11" t="s">
        <v>138</v>
      </c>
      <c r="D105" s="21"/>
    </row>
    <row r="106" spans="1:7">
      <c r="A106" s="8">
        <f>A103+1</f>
        <v>405</v>
      </c>
      <c r="C106" s="17" t="s">
        <v>1735</v>
      </c>
      <c r="D106" s="793">
        <v>-21208798.798968621</v>
      </c>
      <c r="E106" s="445" t="s">
        <v>1719</v>
      </c>
      <c r="F106" t="s">
        <v>169</v>
      </c>
      <c r="G106" s="8">
        <f>A106</f>
        <v>405</v>
      </c>
    </row>
    <row r="107" spans="1:7">
      <c r="A107" s="8">
        <f t="shared" ref="A107" si="6">A106+1</f>
        <v>406</v>
      </c>
      <c r="C107" t="s">
        <v>137</v>
      </c>
      <c r="D107" s="378">
        <v>-702229.25297428656</v>
      </c>
      <c r="E107" s="445" t="s">
        <v>1333</v>
      </c>
      <c r="G107" s="8">
        <f>A107</f>
        <v>406</v>
      </c>
    </row>
    <row r="108" spans="1:7">
      <c r="A108" s="8">
        <f>A107+1</f>
        <v>407</v>
      </c>
      <c r="C108" s="12" t="s">
        <v>59</v>
      </c>
      <c r="D108" s="68">
        <f>SUM(D106:D107)</f>
        <v>-21911028.051942907</v>
      </c>
      <c r="E108" t="str">
        <f>"Line "&amp;A106&amp;" + Line "&amp;A107&amp;""</f>
        <v>Line 405 + Line 406</v>
      </c>
      <c r="G108" s="8">
        <f>A108</f>
        <v>407</v>
      </c>
    </row>
    <row r="109" spans="1:7">
      <c r="D109" s="20"/>
    </row>
    <row r="110" spans="1:7">
      <c r="A110" s="8">
        <f>A108+1</f>
        <v>408</v>
      </c>
      <c r="C110" s="12" t="s">
        <v>60</v>
      </c>
      <c r="D110" s="68">
        <f ca="1">(((D115*D116)+D119-D120)*(D117/(1-D117)))+D118/(1-D117)</f>
        <v>193720626.91915113</v>
      </c>
      <c r="E110" t="str">
        <f>"Line "&amp;A112&amp;""</f>
        <v>Line 409</v>
      </c>
      <c r="G110" s="8">
        <f>A110</f>
        <v>408</v>
      </c>
    </row>
    <row r="112" spans="1:7">
      <c r="A112" s="8">
        <f>A110+1</f>
        <v>409</v>
      </c>
      <c r="C112" t="s">
        <v>1490</v>
      </c>
      <c r="G112" s="8">
        <f>A112</f>
        <v>409</v>
      </c>
    </row>
    <row r="114" spans="1:14">
      <c r="C114" t="s">
        <v>61</v>
      </c>
    </row>
    <row r="115" spans="1:14">
      <c r="A115" s="8">
        <f>A112+1</f>
        <v>410</v>
      </c>
      <c r="C115" s="35" t="s">
        <v>62</v>
      </c>
      <c r="D115" s="32">
        <f ca="1">+D30</f>
        <v>10822020284.801483</v>
      </c>
      <c r="E115" t="str">
        <f>"Line "&amp;A30&amp;""</f>
        <v>Line 115</v>
      </c>
      <c r="F115" s="21"/>
      <c r="G115" s="8">
        <f t="shared" ref="G115:G120" si="7">A115</f>
        <v>410</v>
      </c>
    </row>
    <row r="116" spans="1:14">
      <c r="A116" s="8">
        <f>A115+1</f>
        <v>411</v>
      </c>
      <c r="C116" s="18" t="s">
        <v>63</v>
      </c>
      <c r="D116" s="31">
        <f>+D68</f>
        <v>5.2264807947588816E-2</v>
      </c>
      <c r="E116" t="str">
        <f>"Line "&amp;A68&amp;""</f>
        <v>Line 220</v>
      </c>
      <c r="G116" s="8">
        <f t="shared" si="7"/>
        <v>411</v>
      </c>
    </row>
    <row r="117" spans="1:14">
      <c r="A117" s="8">
        <f t="shared" ref="A117:A120" si="8">A116+1</f>
        <v>412</v>
      </c>
      <c r="C117" s="35" t="s">
        <v>64</v>
      </c>
      <c r="D117" s="28">
        <f>+D99</f>
        <v>0.27983599999999997</v>
      </c>
      <c r="E117" t="str">
        <f>"Line "&amp;A99&amp;""</f>
        <v>Line 402</v>
      </c>
      <c r="G117" s="8">
        <f t="shared" si="7"/>
        <v>412</v>
      </c>
    </row>
    <row r="118" spans="1:14">
      <c r="A118" s="8">
        <f t="shared" si="8"/>
        <v>413</v>
      </c>
      <c r="C118" s="35" t="s">
        <v>65</v>
      </c>
      <c r="D118" s="32">
        <f>+D108</f>
        <v>-21911028.051942907</v>
      </c>
      <c r="E118" t="str">
        <f>"Line "&amp;A108&amp;""</f>
        <v>Line 407</v>
      </c>
      <c r="G118" s="8">
        <f t="shared" si="7"/>
        <v>413</v>
      </c>
    </row>
    <row r="119" spans="1:14">
      <c r="A119" s="8">
        <f t="shared" si="8"/>
        <v>414</v>
      </c>
      <c r="C119" s="35" t="s">
        <v>139</v>
      </c>
      <c r="D119" s="32">
        <f>+D103</f>
        <v>11232945.326774467</v>
      </c>
      <c r="E119" t="str">
        <f>"Line "&amp;A103&amp;""</f>
        <v>Line 404</v>
      </c>
      <c r="G119" s="8">
        <f t="shared" si="7"/>
        <v>414</v>
      </c>
    </row>
    <row r="120" spans="1:14">
      <c r="A120" s="8">
        <f t="shared" si="8"/>
        <v>415</v>
      </c>
      <c r="C120" s="35" t="s">
        <v>1439</v>
      </c>
      <c r="D120" s="32">
        <f ca="1">D72</f>
        <v>0</v>
      </c>
      <c r="E120" t="str">
        <f>"Line "&amp;A72&amp;""</f>
        <v>Line 223</v>
      </c>
      <c r="G120" s="8">
        <f t="shared" si="7"/>
        <v>415</v>
      </c>
    </row>
    <row r="121" spans="1:14">
      <c r="G121" s="8"/>
    </row>
    <row r="122" spans="1:14">
      <c r="C122" s="52" t="s">
        <v>179</v>
      </c>
      <c r="D122" s="54"/>
      <c r="E122" s="54"/>
      <c r="F122" s="54"/>
    </row>
    <row r="123" spans="1:14">
      <c r="A123" s="13" t="s">
        <v>124</v>
      </c>
      <c r="B123" s="13"/>
      <c r="C123" s="13" t="s">
        <v>129</v>
      </c>
      <c r="D123" s="13" t="s">
        <v>80</v>
      </c>
      <c r="E123" s="13" t="s">
        <v>54</v>
      </c>
      <c r="F123" s="13" t="s">
        <v>11</v>
      </c>
      <c r="G123" s="13" t="str">
        <f>A123</f>
        <v>Line</v>
      </c>
    </row>
    <row r="124" spans="1:14">
      <c r="C124" s="11" t="s">
        <v>130</v>
      </c>
    </row>
    <row r="125" spans="1:14">
      <c r="A125" s="8">
        <v>500</v>
      </c>
      <c r="C125" t="s">
        <v>66</v>
      </c>
      <c r="D125" s="32">
        <f>'18-OandM'!P10</f>
        <v>632960218.36720455</v>
      </c>
      <c r="E125" t="s">
        <v>1024</v>
      </c>
      <c r="G125" s="8">
        <f t="shared" ref="G125:G137" si="9">A125</f>
        <v>500</v>
      </c>
      <c r="J125" s="333"/>
      <c r="K125" s="33"/>
      <c r="L125" s="33"/>
      <c r="N125" s="28"/>
    </row>
    <row r="126" spans="1:14">
      <c r="A126" s="8">
        <f>A125+1</f>
        <v>501</v>
      </c>
      <c r="C126" t="s">
        <v>67</v>
      </c>
      <c r="D126" s="32">
        <f>'19-AandG'!F46</f>
        <v>311438989.8577919</v>
      </c>
      <c r="E126" t="s">
        <v>1440</v>
      </c>
      <c r="G126" s="8">
        <f t="shared" si="9"/>
        <v>501</v>
      </c>
      <c r="J126" s="333"/>
      <c r="K126" s="33"/>
      <c r="L126" s="33"/>
      <c r="N126" s="28"/>
    </row>
    <row r="127" spans="1:14">
      <c r="A127" s="8">
        <f t="shared" ref="A127:A137" si="10">A126+1</f>
        <v>502</v>
      </c>
      <c r="C127" t="s">
        <v>68</v>
      </c>
      <c r="D127" s="32">
        <f>'15-NUC'!C16</f>
        <v>1745354.32</v>
      </c>
      <c r="E127" t="s">
        <v>1025</v>
      </c>
      <c r="G127" s="8">
        <f t="shared" si="9"/>
        <v>502</v>
      </c>
      <c r="J127" s="333"/>
      <c r="K127" s="33"/>
      <c r="L127" s="33"/>
      <c r="N127" s="28"/>
    </row>
    <row r="128" spans="1:14">
      <c r="A128" s="8">
        <f t="shared" si="10"/>
        <v>503</v>
      </c>
      <c r="C128" t="s">
        <v>142</v>
      </c>
      <c r="D128" s="32">
        <f>'11-Depreciation'!O15+'11-Depreciation'!C61</f>
        <v>537037675.40049243</v>
      </c>
      <c r="E128" t="s">
        <v>1026</v>
      </c>
      <c r="G128" s="8">
        <f t="shared" si="9"/>
        <v>503</v>
      </c>
      <c r="J128" s="333"/>
      <c r="K128" s="33"/>
      <c r="L128" s="33"/>
      <c r="N128" s="28"/>
    </row>
    <row r="129" spans="1:14">
      <c r="A129" s="8">
        <f t="shared" si="10"/>
        <v>504</v>
      </c>
      <c r="C129" s="17" t="s">
        <v>170</v>
      </c>
      <c r="D129" s="32">
        <f>'11-Depreciation'!F131</f>
        <v>1063625.9019136429</v>
      </c>
      <c r="E129" t="s">
        <v>1027</v>
      </c>
      <c r="G129" s="8">
        <f t="shared" si="9"/>
        <v>504</v>
      </c>
      <c r="J129" s="333"/>
      <c r="K129" s="33"/>
      <c r="L129" s="33"/>
      <c r="N129" s="28"/>
    </row>
    <row r="130" spans="1:14">
      <c r="A130" s="8">
        <f t="shared" si="10"/>
        <v>505</v>
      </c>
      <c r="C130" t="s">
        <v>69</v>
      </c>
      <c r="D130" s="32">
        <f ca="1">'8-AbandonedPlant'!I14</f>
        <v>0</v>
      </c>
      <c r="E130" t="s">
        <v>1729</v>
      </c>
      <c r="G130" s="8">
        <f t="shared" si="9"/>
        <v>505</v>
      </c>
      <c r="J130" s="333"/>
      <c r="K130" s="33"/>
      <c r="L130" s="33"/>
      <c r="N130" s="28"/>
    </row>
    <row r="131" spans="1:14">
      <c r="A131" s="8">
        <f t="shared" si="10"/>
        <v>506</v>
      </c>
      <c r="C131" t="s">
        <v>71</v>
      </c>
      <c r="D131" s="32">
        <f ca="1">D73</f>
        <v>777738642.40259612</v>
      </c>
      <c r="E131" t="str">
        <f>"Line "&amp;A73&amp;""</f>
        <v>Line 224</v>
      </c>
      <c r="G131" s="8">
        <f t="shared" si="9"/>
        <v>506</v>
      </c>
      <c r="J131" s="333"/>
      <c r="K131" s="33"/>
      <c r="L131" s="33"/>
      <c r="N131" s="28"/>
    </row>
    <row r="132" spans="1:14">
      <c r="A132" s="8">
        <f t="shared" si="10"/>
        <v>507</v>
      </c>
      <c r="C132" t="s">
        <v>18</v>
      </c>
      <c r="D132" s="32">
        <f>D93</f>
        <v>144963797.97262129</v>
      </c>
      <c r="E132" t="str">
        <f>"Line "&amp;A93&amp;""</f>
        <v>Line 311</v>
      </c>
      <c r="G132" s="8">
        <f t="shared" si="9"/>
        <v>507</v>
      </c>
      <c r="J132" s="333"/>
      <c r="K132" s="33"/>
      <c r="L132" s="33"/>
      <c r="N132" s="28"/>
    </row>
    <row r="133" spans="1:14">
      <c r="A133" s="8">
        <f t="shared" si="10"/>
        <v>508</v>
      </c>
      <c r="C133" t="s">
        <v>55</v>
      </c>
      <c r="D133" s="32">
        <f ca="1">D110</f>
        <v>193720626.91915113</v>
      </c>
      <c r="E133" t="str">
        <f>"Line "&amp;A110&amp;""</f>
        <v>Line 408</v>
      </c>
      <c r="G133" s="8">
        <f t="shared" si="9"/>
        <v>508</v>
      </c>
      <c r="J133" s="333"/>
      <c r="K133" s="33"/>
      <c r="L133" s="33"/>
      <c r="N133" s="28"/>
    </row>
    <row r="134" spans="1:14">
      <c r="A134" s="8">
        <f t="shared" si="10"/>
        <v>509</v>
      </c>
      <c r="C134" t="s">
        <v>70</v>
      </c>
      <c r="D134" s="32">
        <f>-'20-RevenueCredits'!H10</f>
        <v>-14606488.819800004</v>
      </c>
      <c r="E134" t="s">
        <v>1352</v>
      </c>
      <c r="F134" t="s">
        <v>188</v>
      </c>
      <c r="G134" s="8">
        <f t="shared" si="9"/>
        <v>509</v>
      </c>
      <c r="J134" s="333"/>
      <c r="K134" s="33"/>
      <c r="L134" s="33"/>
      <c r="N134" s="28"/>
    </row>
    <row r="135" spans="1:14">
      <c r="A135" s="8">
        <f t="shared" si="10"/>
        <v>510</v>
      </c>
      <c r="C135" t="s">
        <v>132</v>
      </c>
      <c r="D135" s="32">
        <f>-'21-NPandS'!C39</f>
        <v>-19860596.636095401</v>
      </c>
      <c r="E135" t="s">
        <v>1028</v>
      </c>
      <c r="F135" t="s">
        <v>188</v>
      </c>
      <c r="G135" s="8">
        <f t="shared" si="9"/>
        <v>510</v>
      </c>
      <c r="J135" s="333"/>
      <c r="K135" s="33"/>
      <c r="L135" s="33"/>
      <c r="N135" s="28"/>
    </row>
    <row r="136" spans="1:14">
      <c r="A136" s="8">
        <f t="shared" si="10"/>
        <v>511</v>
      </c>
      <c r="C136" t="s">
        <v>72</v>
      </c>
      <c r="D136" s="26">
        <f>'17-RegAssets-1'!E27</f>
        <v>0</v>
      </c>
      <c r="E136" t="s">
        <v>1621</v>
      </c>
      <c r="F136" t="s">
        <v>218</v>
      </c>
      <c r="G136" s="8">
        <f t="shared" si="9"/>
        <v>511</v>
      </c>
      <c r="J136" s="333"/>
      <c r="K136" s="33"/>
      <c r="L136" s="33"/>
      <c r="N136" s="28"/>
    </row>
    <row r="137" spans="1:14">
      <c r="A137" s="8">
        <f t="shared" si="10"/>
        <v>512</v>
      </c>
      <c r="C137" s="12" t="s">
        <v>79</v>
      </c>
      <c r="D137" s="68">
        <f ca="1">SUM(D125:D136)</f>
        <v>2566201845.6858759</v>
      </c>
      <c r="E137" t="str">
        <f>"Sum of Lines "&amp;A125&amp;" to Line "&amp;A136&amp;""</f>
        <v>Sum of Lines 500 to Line 511</v>
      </c>
      <c r="G137" s="8">
        <f t="shared" si="9"/>
        <v>512</v>
      </c>
      <c r="J137" s="333"/>
      <c r="K137" s="33"/>
      <c r="L137" s="33"/>
      <c r="N137" s="28"/>
    </row>
    <row r="138" spans="1:14">
      <c r="G138" s="8"/>
      <c r="K138" s="33"/>
    </row>
    <row r="139" spans="1:14">
      <c r="C139" s="11" t="s">
        <v>73</v>
      </c>
      <c r="G139" s="8"/>
      <c r="K139" s="33"/>
    </row>
    <row r="140" spans="1:14">
      <c r="A140" s="8">
        <f>+A137+1</f>
        <v>513</v>
      </c>
      <c r="C140" t="s">
        <v>146</v>
      </c>
      <c r="D140" s="373">
        <f>'25-RFandUFactors'!E21</f>
        <v>7.6870000000000003E-3</v>
      </c>
      <c r="E140" t="s">
        <v>1029</v>
      </c>
      <c r="G140" s="8">
        <f>A140</f>
        <v>513</v>
      </c>
      <c r="J140" s="31"/>
      <c r="K140" s="33"/>
    </row>
    <row r="141" spans="1:14">
      <c r="A141" s="8">
        <f>A140+1</f>
        <v>514</v>
      </c>
      <c r="C141" t="s">
        <v>141</v>
      </c>
      <c r="D141" s="787">
        <f>'25-RFandUFactors'!E22</f>
        <v>2.0782341986441631E-4</v>
      </c>
      <c r="E141" t="s">
        <v>1030</v>
      </c>
      <c r="G141" s="8">
        <f>A141</f>
        <v>514</v>
      </c>
      <c r="J141" s="31"/>
      <c r="K141" s="33"/>
    </row>
    <row r="142" spans="1:14">
      <c r="A142" s="8">
        <f>A141+1</f>
        <v>515</v>
      </c>
      <c r="C142" s="12" t="s">
        <v>147</v>
      </c>
      <c r="D142" s="68">
        <f ca="1">(D140+D141)*D137</f>
        <v>20259710.431420144</v>
      </c>
      <c r="E142" s="17" t="str">
        <f>"Line "&amp;A137&amp;" * (Line "&amp;A140&amp;" + Line "&amp;A141&amp;")"</f>
        <v>Line 512 * (Line 513 + Line 514)</v>
      </c>
      <c r="G142" s="8">
        <f>A142</f>
        <v>515</v>
      </c>
      <c r="J142" s="333"/>
      <c r="K142" s="33"/>
    </row>
    <row r="143" spans="1:14">
      <c r="G143" s="8"/>
      <c r="K143" s="33"/>
    </row>
    <row r="144" spans="1:14">
      <c r="A144" s="8">
        <f>A142+1</f>
        <v>516</v>
      </c>
      <c r="C144" s="12" t="s">
        <v>131</v>
      </c>
      <c r="D144" s="68">
        <f ca="1">D142+D137</f>
        <v>2586461556.1172962</v>
      </c>
      <c r="E144" t="str">
        <f>"Line "&amp;A137&amp;" + Line "&amp;A142&amp;""</f>
        <v>Line 512 + Line 515</v>
      </c>
      <c r="G144" s="8">
        <f>A144</f>
        <v>516</v>
      </c>
      <c r="J144" s="333"/>
      <c r="K144" s="33"/>
    </row>
    <row r="145" spans="1:14">
      <c r="G145" s="8"/>
      <c r="K145" s="33"/>
    </row>
    <row r="146" spans="1:14">
      <c r="A146"/>
      <c r="B146"/>
      <c r="C146" s="52" t="s">
        <v>180</v>
      </c>
      <c r="D146" s="54"/>
      <c r="E146" s="54"/>
      <c r="F146" s="54"/>
      <c r="K146" s="33"/>
    </row>
    <row r="147" spans="1:14">
      <c r="A147" s="13" t="s">
        <v>124</v>
      </c>
      <c r="B147" s="13"/>
      <c r="C147" s="13" t="s">
        <v>129</v>
      </c>
      <c r="D147" s="13" t="s">
        <v>80</v>
      </c>
      <c r="E147" s="13" t="s">
        <v>54</v>
      </c>
      <c r="F147" s="13" t="s">
        <v>11</v>
      </c>
      <c r="G147" s="13" t="str">
        <f>A147</f>
        <v>Line</v>
      </c>
      <c r="K147" s="33"/>
    </row>
    <row r="148" spans="1:14">
      <c r="A148" s="8">
        <v>600</v>
      </c>
      <c r="C148" t="s">
        <v>131</v>
      </c>
      <c r="D148" s="32">
        <f ca="1">+D144</f>
        <v>2586461556.1172962</v>
      </c>
      <c r="E148" t="str">
        <f>"Line "&amp;A144&amp;""</f>
        <v>Line 516</v>
      </c>
      <c r="G148" s="8">
        <f>A148</f>
        <v>600</v>
      </c>
      <c r="J148" s="333"/>
      <c r="K148" s="33"/>
      <c r="L148" s="33"/>
      <c r="N148" s="28"/>
    </row>
    <row r="149" spans="1:14">
      <c r="A149" s="8">
        <f>A148+1</f>
        <v>601</v>
      </c>
      <c r="C149" t="s">
        <v>150</v>
      </c>
      <c r="D149" s="32">
        <f ca="1">'2-ITRR'!D34</f>
        <v>315520697.76845884</v>
      </c>
      <c r="E149" t="str">
        <f>CONCATENATE("2-ITRR, L. ",'2-ITRR'!A34)</f>
        <v>2-ITRR, L. 209</v>
      </c>
      <c r="G149" s="8">
        <f>A149</f>
        <v>601</v>
      </c>
      <c r="J149" s="333"/>
      <c r="K149" s="33"/>
      <c r="L149" s="33"/>
      <c r="N149" s="28"/>
    </row>
    <row r="150" spans="1:14">
      <c r="A150" s="8">
        <f>A149+1</f>
        <v>602</v>
      </c>
      <c r="C150" t="s">
        <v>168</v>
      </c>
      <c r="D150" s="26">
        <f>IF(F1&gt;2020,'4-ATA'!B95,0)</f>
        <v>-175038542.90000001</v>
      </c>
      <c r="E150" t="str">
        <f>CONCATENATE("4-ATA, L. ",'4-ATA'!A95)</f>
        <v>4-ATA, L. 400</v>
      </c>
      <c r="F150" s="43"/>
      <c r="G150" s="8">
        <f>A150</f>
        <v>602</v>
      </c>
      <c r="J150" s="333"/>
      <c r="K150" s="33"/>
      <c r="L150" s="33"/>
      <c r="N150" s="28"/>
    </row>
    <row r="151" spans="1:14">
      <c r="A151" s="8">
        <f>A150+1</f>
        <v>603</v>
      </c>
      <c r="C151" s="12" t="s">
        <v>151</v>
      </c>
      <c r="D151" s="68">
        <f ca="1">SUM(D148:D150)</f>
        <v>2726943710.985755</v>
      </c>
      <c r="E151" t="str">
        <f>"Sum of Lines "&amp;A148&amp;" to Line "&amp;A150&amp;""</f>
        <v>Sum of Lines 600 to Line 602</v>
      </c>
      <c r="G151" s="8">
        <f>A151</f>
        <v>603</v>
      </c>
      <c r="J151" s="333"/>
      <c r="K151" s="33"/>
      <c r="L151" s="33"/>
      <c r="N151" s="28"/>
    </row>
    <row r="152" spans="1:14">
      <c r="G152" s="8"/>
      <c r="K152" s="33"/>
    </row>
    <row r="153" spans="1:14">
      <c r="A153"/>
      <c r="B153"/>
      <c r="C153" s="52" t="s">
        <v>181</v>
      </c>
      <c r="D153" s="54"/>
      <c r="E153" s="54"/>
      <c r="F153" s="54"/>
      <c r="K153" s="33"/>
    </row>
    <row r="154" spans="1:14">
      <c r="A154" s="13" t="s">
        <v>124</v>
      </c>
      <c r="B154" s="13"/>
      <c r="C154" s="13" t="s">
        <v>129</v>
      </c>
      <c r="D154" s="13" t="s">
        <v>80</v>
      </c>
      <c r="E154" s="13" t="s">
        <v>54</v>
      </c>
      <c r="F154" s="13" t="s">
        <v>11</v>
      </c>
      <c r="G154" s="13" t="str">
        <f>A154</f>
        <v>Line</v>
      </c>
      <c r="K154" s="33"/>
    </row>
    <row r="155" spans="1:14">
      <c r="A155" s="8">
        <v>700</v>
      </c>
      <c r="C155" t="s">
        <v>160</v>
      </c>
      <c r="D155" s="373">
        <f>'25-RFandUFactors'!E23</f>
        <v>3.5142409364145128E-3</v>
      </c>
      <c r="E155" t="s">
        <v>1031</v>
      </c>
      <c r="F155" s="13"/>
      <c r="G155" s="8">
        <f>A155</f>
        <v>700</v>
      </c>
      <c r="J155" s="31"/>
      <c r="K155" s="33"/>
    </row>
    <row r="156" spans="1:14">
      <c r="D156" s="373"/>
      <c r="E156" s="13"/>
      <c r="F156" s="13"/>
      <c r="G156" s="8"/>
      <c r="K156" s="33"/>
    </row>
    <row r="157" spans="1:14">
      <c r="A157" s="8">
        <f>A155+1</f>
        <v>701</v>
      </c>
      <c r="C157" t="s">
        <v>243</v>
      </c>
      <c r="D157" s="32">
        <f ca="1">D155*D151</f>
        <v>9583137.2204442471</v>
      </c>
      <c r="E157" t="str">
        <f>"Line "&amp;A155&amp;" * Line "&amp;A151&amp;""</f>
        <v>Line 700 * Line 603</v>
      </c>
      <c r="F157" s="13"/>
      <c r="G157" s="8">
        <f>A157</f>
        <v>701</v>
      </c>
      <c r="J157" s="333"/>
      <c r="K157" s="33"/>
    </row>
    <row r="158" spans="1:14">
      <c r="A158" s="8">
        <f t="shared" ref="A158:A160" si="11">A157+1</f>
        <v>702</v>
      </c>
      <c r="C158" t="s">
        <v>148</v>
      </c>
      <c r="D158" s="32">
        <f>'23-RetailSGTax'!D38</f>
        <v>4522757.585614305</v>
      </c>
      <c r="E158" t="s">
        <v>1422</v>
      </c>
      <c r="G158" s="8">
        <f>A158</f>
        <v>702</v>
      </c>
      <c r="J158" s="333"/>
      <c r="K158" s="33"/>
      <c r="L158" s="33"/>
      <c r="M158" s="33"/>
      <c r="N158" s="33"/>
    </row>
    <row r="159" spans="1:14">
      <c r="A159" s="8">
        <f t="shared" si="11"/>
        <v>703</v>
      </c>
      <c r="C159" t="s">
        <v>151</v>
      </c>
      <c r="D159" s="26">
        <f ca="1">D151</f>
        <v>2726943710.985755</v>
      </c>
      <c r="E159" t="str">
        <f>"Line "&amp;A151&amp;""</f>
        <v>Line 603</v>
      </c>
      <c r="G159" s="8">
        <f>A159</f>
        <v>703</v>
      </c>
      <c r="J159" s="333"/>
      <c r="K159" s="28"/>
      <c r="L159" s="28"/>
      <c r="M159" s="28"/>
      <c r="N159" s="28"/>
    </row>
    <row r="160" spans="1:14">
      <c r="A160" s="8">
        <f t="shared" si="11"/>
        <v>704</v>
      </c>
      <c r="C160" s="12" t="s">
        <v>174</v>
      </c>
      <c r="D160" s="68">
        <f ca="1">SUM(D157:D159)</f>
        <v>2741049605.7918134</v>
      </c>
      <c r="E160" t="str">
        <f>"Sum of Lines "&amp;A157&amp;" to Line "&amp;A159&amp;""</f>
        <v>Sum of Lines 701 to Line 703</v>
      </c>
      <c r="G160" s="8">
        <f>A160</f>
        <v>704</v>
      </c>
      <c r="J160" s="333"/>
      <c r="K160" s="33"/>
    </row>
    <row r="161" spans="3:9">
      <c r="D161" s="21"/>
      <c r="I161" s="33"/>
    </row>
    <row r="162" spans="3:9">
      <c r="D162" s="797"/>
      <c r="E162" s="28"/>
      <c r="F162" s="333"/>
    </row>
    <row r="163" spans="3:9">
      <c r="C163" s="16" t="s">
        <v>127</v>
      </c>
    </row>
    <row r="164" spans="3:9">
      <c r="C164" s="812" t="s">
        <v>1702</v>
      </c>
      <c r="D164" s="812"/>
      <c r="E164" s="812"/>
      <c r="F164" s="812"/>
    </row>
    <row r="165" spans="3:9">
      <c r="C165" s="813" t="s">
        <v>1703</v>
      </c>
      <c r="D165" s="813"/>
      <c r="E165" s="813"/>
      <c r="F165" s="813"/>
    </row>
    <row r="166" spans="3:9" ht="15" customHeight="1">
      <c r="C166" s="814" t="s">
        <v>1868</v>
      </c>
      <c r="D166" s="814"/>
      <c r="E166" s="814"/>
      <c r="F166" s="814"/>
    </row>
    <row r="167" spans="3:9">
      <c r="C167" s="814"/>
      <c r="D167" s="814"/>
      <c r="E167" s="814"/>
      <c r="F167" s="814"/>
    </row>
    <row r="168" spans="3:9">
      <c r="C168" s="814"/>
      <c r="D168" s="814"/>
      <c r="E168" s="814"/>
      <c r="F168" s="814"/>
    </row>
    <row r="169" spans="3:9">
      <c r="C169" s="812" t="s">
        <v>1704</v>
      </c>
      <c r="D169" s="812"/>
      <c r="E169" s="812"/>
      <c r="F169" s="812"/>
    </row>
  </sheetData>
  <mergeCells count="4">
    <mergeCell ref="C169:F169"/>
    <mergeCell ref="C164:F164"/>
    <mergeCell ref="C165:F165"/>
    <mergeCell ref="C166:F168"/>
  </mergeCells>
  <printOptions horizontalCentered="1"/>
  <pageMargins left="1" right="1" top="1" bottom="1" header="0.5" footer="0.5"/>
  <pageSetup scale="63"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2"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J38"/>
  <sheetViews>
    <sheetView tabSelected="1" view="pageBreakPreview" zoomScale="55" zoomScaleSheetLayoutView="55" zoomScalePageLayoutView="70" workbookViewId="0">
      <selection activeCell="P108" sqref="P108"/>
    </sheetView>
  </sheetViews>
  <sheetFormatPr defaultColWidth="9.1796875" defaultRowHeight="14.5"/>
  <cols>
    <col min="1" max="1" width="4.54296875" bestFit="1" customWidth="1"/>
    <col min="2" max="2" width="45.453125" bestFit="1" customWidth="1"/>
    <col min="3" max="3" width="4.54296875" customWidth="1"/>
    <col min="4" max="4" width="15.54296875" bestFit="1" customWidth="1"/>
    <col min="5" max="5" width="62.1796875" bestFit="1" customWidth="1"/>
    <col min="6" max="6" width="27" customWidth="1"/>
    <col min="7" max="7" width="4.54296875" bestFit="1" customWidth="1"/>
    <col min="8" max="8" width="9.1796875" customWidth="1"/>
    <col min="9" max="9" width="14.54296875" bestFit="1" customWidth="1"/>
    <col min="10" max="10" width="12.81640625" bestFit="1" customWidth="1"/>
  </cols>
  <sheetData>
    <row r="1" spans="1:7">
      <c r="B1" s="12" t="s">
        <v>153</v>
      </c>
      <c r="F1" s="15" t="str">
        <f>CONCATENATE("Rate Year: ",'1-BaseTRR'!$F$1)</f>
        <v>Rate Year: 2024</v>
      </c>
    </row>
    <row r="2" spans="1:7">
      <c r="F2" s="15" t="str">
        <f>CONCATENATE("Prior Year: ",'1-BaseTRR'!$F$2)</f>
        <v>Prior Year: 2022</v>
      </c>
    </row>
    <row r="3" spans="1:7">
      <c r="B3" s="14"/>
      <c r="G3" s="13"/>
    </row>
    <row r="4" spans="1:7">
      <c r="B4" s="57" t="s">
        <v>182</v>
      </c>
      <c r="C4" s="57"/>
      <c r="D4" s="54"/>
      <c r="E4" s="54"/>
      <c r="F4" s="54"/>
    </row>
    <row r="5" spans="1:7">
      <c r="A5" s="13" t="s">
        <v>124</v>
      </c>
      <c r="B5" s="13" t="s">
        <v>129</v>
      </c>
      <c r="D5" s="13" t="s">
        <v>80</v>
      </c>
      <c r="E5" s="13" t="s">
        <v>54</v>
      </c>
      <c r="F5" s="13" t="s">
        <v>11</v>
      </c>
      <c r="G5" s="13" t="str">
        <f>A5</f>
        <v>Line</v>
      </c>
    </row>
    <row r="6" spans="1:7">
      <c r="A6" s="8">
        <v>100</v>
      </c>
      <c r="B6" t="s">
        <v>154</v>
      </c>
      <c r="C6" s="12"/>
      <c r="G6" s="8">
        <f>A6</f>
        <v>100</v>
      </c>
    </row>
    <row r="7" spans="1:7">
      <c r="A7" s="8"/>
      <c r="G7" s="8"/>
    </row>
    <row r="8" spans="1:7">
      <c r="A8" s="8"/>
      <c r="B8" s="16" t="s">
        <v>74</v>
      </c>
      <c r="C8" s="16"/>
      <c r="G8" s="8"/>
    </row>
    <row r="9" spans="1:7">
      <c r="A9" s="8">
        <f>A6+1</f>
        <v>101</v>
      </c>
      <c r="B9" t="s">
        <v>172</v>
      </c>
      <c r="D9" s="32">
        <f>'7-PlantInService'!P24</f>
        <v>15658655291.088451</v>
      </c>
      <c r="E9" t="s">
        <v>1010</v>
      </c>
      <c r="G9" s="8">
        <f t="shared" ref="G9:G34" si="0">A9</f>
        <v>101</v>
      </c>
    </row>
    <row r="10" spans="1:7">
      <c r="A10" s="8">
        <f>A9+1</f>
        <v>102</v>
      </c>
      <c r="B10" t="s">
        <v>173</v>
      </c>
      <c r="D10" s="26">
        <f>'10-AccDep'!P26</f>
        <v>3674552227.2916818</v>
      </c>
      <c r="E10" t="s">
        <v>1014</v>
      </c>
      <c r="G10" s="8">
        <f t="shared" si="0"/>
        <v>102</v>
      </c>
    </row>
    <row r="11" spans="1:7">
      <c r="A11" s="8">
        <f>A10+1</f>
        <v>103</v>
      </c>
      <c r="B11" s="12" t="s">
        <v>75</v>
      </c>
      <c r="D11" s="68">
        <f>D9-D10</f>
        <v>11984103063.79677</v>
      </c>
      <c r="E11" t="str">
        <f>"Line "&amp;A9&amp;" - Line "&amp;A10&amp;""</f>
        <v>Line 101 - Line 102</v>
      </c>
      <c r="G11" s="8">
        <f t="shared" si="0"/>
        <v>103</v>
      </c>
    </row>
    <row r="12" spans="1:7">
      <c r="A12" s="8"/>
      <c r="G12" s="8"/>
    </row>
    <row r="13" spans="1:7">
      <c r="A13" s="8"/>
      <c r="B13" s="16" t="s">
        <v>155</v>
      </c>
      <c r="C13" s="16"/>
      <c r="G13" s="8"/>
    </row>
    <row r="14" spans="1:7">
      <c r="A14" s="8">
        <f>A11+1</f>
        <v>104</v>
      </c>
      <c r="B14" t="s">
        <v>157</v>
      </c>
      <c r="D14" s="32">
        <f ca="1">'1-BaseTRR'!D137-(('1-BaseTRR'!D125+'1-BaseTRR'!D126)*0.75)</f>
        <v>1857902439.5171285</v>
      </c>
      <c r="E14" t="str">
        <f>CONCATENATE("1-BaseTRR, L. ",'1-BaseTRR'!A137," - [75%*(1-BaseTRR, L. 500 + L. 501 )]")</f>
        <v>1-BaseTRR, L. 512 - [75%*(1-BaseTRR, L. 500 + L. 501 )]</v>
      </c>
      <c r="G14" s="8">
        <f t="shared" si="0"/>
        <v>104</v>
      </c>
    </row>
    <row r="15" spans="1:7">
      <c r="A15" s="8">
        <f>+A14+1</f>
        <v>105</v>
      </c>
      <c r="B15" t="s">
        <v>1369</v>
      </c>
      <c r="C15" s="518"/>
      <c r="D15" s="32">
        <f>-+'1-BaseTRR'!D128+-'1-BaseTRR'!D129+'11-Depreciation'!C61</f>
        <v>-433352157.00727731</v>
      </c>
      <c r="E15" t="str">
        <f>CONCATENATE("1-BaseTRR, L. ",'1-BaseTRR'!A128," + L. ",'1-BaseTRR'!A129," - ","11-Depreciation, L. ",'11-Depreciation'!A61,", col 1 ")</f>
        <v xml:space="preserve">1-BaseTRR, L. 503 + L. 504 - 11-Depreciation, L. 500, col 1 </v>
      </c>
      <c r="F15" s="337"/>
      <c r="G15" s="8">
        <f t="shared" si="0"/>
        <v>105</v>
      </c>
    </row>
    <row r="16" spans="1:7" ht="30.75" customHeight="1">
      <c r="A16" s="8">
        <f t="shared" ref="A16:A17" si="1">+A15+1</f>
        <v>106</v>
      </c>
      <c r="B16" t="s">
        <v>1370</v>
      </c>
      <c r="D16" s="576">
        <f>-('1-BaseTRR'!D25*'1-BaseTRR'!D68)*(1+'1-BaseTRR'!D99/(1-'1-BaseTRR'!D99))-('1-BaseTRR'!D25*'1-BaseTRR'!D63)</f>
        <v>191704589.19906163</v>
      </c>
      <c r="E16" s="44" t="s">
        <v>1513</v>
      </c>
      <c r="F16" s="44"/>
      <c r="G16" s="8">
        <f t="shared" si="0"/>
        <v>106</v>
      </c>
    </row>
    <row r="17" spans="1:10">
      <c r="A17" s="8">
        <f t="shared" si="1"/>
        <v>107</v>
      </c>
      <c r="B17" s="12" t="s">
        <v>1371</v>
      </c>
      <c r="D17" s="68">
        <f ca="1">SUM(D14:D16)</f>
        <v>1616254871.7089128</v>
      </c>
      <c r="E17" s="17" t="str">
        <f>"Line "&amp;A14&amp;" + Line "&amp;A15&amp;" + Line "&amp;A16&amp;""</f>
        <v>Line 104 + Line 105 + Line 106</v>
      </c>
      <c r="G17" s="8">
        <f t="shared" si="0"/>
        <v>107</v>
      </c>
    </row>
    <row r="18" spans="1:10">
      <c r="A18" s="8">
        <f>+A17+1</f>
        <v>108</v>
      </c>
      <c r="B18" t="s">
        <v>76</v>
      </c>
      <c r="D18" s="28">
        <f ca="1">D17/D11</f>
        <v>0.13486656974701081</v>
      </c>
      <c r="E18" t="str">
        <f>"Line "&amp;A17&amp;" / Line "&amp;A11&amp;""</f>
        <v>Line 107 / Line 103</v>
      </c>
      <c r="G18" s="8">
        <f t="shared" si="0"/>
        <v>108</v>
      </c>
    </row>
    <row r="19" spans="1:10">
      <c r="A19" s="8"/>
      <c r="G19" s="8"/>
    </row>
    <row r="20" spans="1:10">
      <c r="B20" s="57" t="s">
        <v>152</v>
      </c>
      <c r="C20" s="57"/>
      <c r="D20" s="54"/>
      <c r="E20" s="54"/>
      <c r="F20" s="54"/>
    </row>
    <row r="21" spans="1:10">
      <c r="A21" s="13" t="s">
        <v>124</v>
      </c>
      <c r="B21" s="13" t="s">
        <v>129</v>
      </c>
      <c r="D21" s="13" t="s">
        <v>80</v>
      </c>
      <c r="E21" s="13" t="s">
        <v>54</v>
      </c>
      <c r="F21" s="13" t="s">
        <v>11</v>
      </c>
      <c r="G21" s="13" t="str">
        <f>A21</f>
        <v>Line</v>
      </c>
    </row>
    <row r="22" spans="1:10">
      <c r="A22" s="8">
        <v>200</v>
      </c>
      <c r="B22" t="s">
        <v>77</v>
      </c>
      <c r="D22" s="32">
        <f>'9-PlantAdditions'!I39</f>
        <v>1914181408.0794706</v>
      </c>
      <c r="E22" t="s">
        <v>1032</v>
      </c>
      <c r="G22" s="8">
        <f t="shared" si="0"/>
        <v>200</v>
      </c>
      <c r="I22" s="333"/>
      <c r="J22" s="33"/>
    </row>
    <row r="23" spans="1:10">
      <c r="A23" s="8">
        <f t="shared" ref="A23" si="2">A22+1</f>
        <v>201</v>
      </c>
      <c r="B23" t="s">
        <v>76</v>
      </c>
      <c r="D23" s="28">
        <f ca="1">D18</f>
        <v>0.13486656974701081</v>
      </c>
      <c r="E23" t="str">
        <f>"Line "&amp;A18&amp;""</f>
        <v>Line 108</v>
      </c>
      <c r="G23" s="8">
        <f t="shared" si="0"/>
        <v>201</v>
      </c>
    </row>
    <row r="24" spans="1:10">
      <c r="A24" s="8"/>
      <c r="D24" s="28"/>
      <c r="G24" s="8"/>
    </row>
    <row r="25" spans="1:10">
      <c r="A25" s="8">
        <f>+A23+1</f>
        <v>202</v>
      </c>
      <c r="B25" t="s">
        <v>1372</v>
      </c>
      <c r="D25" s="32">
        <f ca="1">D22*D23</f>
        <v>258159080.38118127</v>
      </c>
      <c r="E25" t="str">
        <f>"Line "&amp;A22&amp;" * Line "&amp;A23&amp;""</f>
        <v>Line 200 * Line 201</v>
      </c>
      <c r="G25" s="8">
        <f t="shared" si="0"/>
        <v>202</v>
      </c>
    </row>
    <row r="26" spans="1:10">
      <c r="A26" s="8">
        <f t="shared" ref="A26:A27" si="3">+A25+1</f>
        <v>203</v>
      </c>
      <c r="B26" t="s">
        <v>1373</v>
      </c>
      <c r="C26" s="518"/>
      <c r="D26" s="32">
        <f>'9-PlantAdditions'!F40</f>
        <v>54557346.168243952</v>
      </c>
      <c r="E26" t="str">
        <f>CONCATENATE("9-PlantAdditions, L. ",'9-PlantAdditions'!A40,", ",'9-PlantAdditions'!F10)</f>
        <v>9-PlantAdditions, L. 125, Col 3</v>
      </c>
      <c r="G26" s="8">
        <f t="shared" si="0"/>
        <v>203</v>
      </c>
    </row>
    <row r="27" spans="1:10">
      <c r="A27" s="8">
        <f t="shared" si="3"/>
        <v>204</v>
      </c>
      <c r="B27" t="s">
        <v>1374</v>
      </c>
      <c r="D27" s="26">
        <f>+'14-ADIT'!M164</f>
        <v>332802.83134777792</v>
      </c>
      <c r="E27" t="str">
        <f>CONCATENATE("14-ADIT, L. ",'14-ADIT'!A164,", Col 11 ")</f>
        <v xml:space="preserve">14-ADIT, L. 728, Col 11 </v>
      </c>
      <c r="G27" s="8">
        <f t="shared" si="0"/>
        <v>204</v>
      </c>
    </row>
    <row r="28" spans="1:10">
      <c r="A28" s="8">
        <f>+A27+1</f>
        <v>205</v>
      </c>
      <c r="B28" s="12" t="s">
        <v>156</v>
      </c>
      <c r="D28" s="68">
        <f ca="1">SUM(D25:D27)</f>
        <v>313049229.38077301</v>
      </c>
      <c r="E28" t="str">
        <f>"Sum Line "&amp;A25&amp;" to Line "&amp;A27&amp;""</f>
        <v>Sum Line 202 to Line 204</v>
      </c>
      <c r="G28" s="8">
        <f t="shared" si="0"/>
        <v>205</v>
      </c>
    </row>
    <row r="29" spans="1:10">
      <c r="A29" s="8"/>
      <c r="D29" s="21"/>
      <c r="G29" s="8"/>
    </row>
    <row r="30" spans="1:10">
      <c r="A30" s="8">
        <f>A28+1</f>
        <v>206</v>
      </c>
      <c r="B30" t="s">
        <v>146</v>
      </c>
      <c r="D30" s="19">
        <f>'1-BaseTRR'!D140</f>
        <v>7.6870000000000003E-3</v>
      </c>
      <c r="E30" t="str">
        <f>CONCATENATE("1-BaseTRR, L. ",'1-BaseTRR'!A140)</f>
        <v>1-BaseTRR, L. 513</v>
      </c>
      <c r="G30" s="8">
        <f t="shared" si="0"/>
        <v>206</v>
      </c>
    </row>
    <row r="31" spans="1:10">
      <c r="A31" s="8">
        <f t="shared" ref="A31:A32" si="4">A30+1</f>
        <v>207</v>
      </c>
      <c r="B31" t="s">
        <v>141</v>
      </c>
      <c r="D31" s="42">
        <f>'1-BaseTRR'!D141</f>
        <v>2.0782341986441631E-4</v>
      </c>
      <c r="E31" t="str">
        <f>CONCATENATE("1-BaseTRR, L. ",'1-BaseTRR'!A141)</f>
        <v>1-BaseTRR, L. 514</v>
      </c>
      <c r="G31" s="8">
        <f t="shared" si="0"/>
        <v>207</v>
      </c>
    </row>
    <row r="32" spans="1:10">
      <c r="A32" s="8">
        <f t="shared" si="4"/>
        <v>208</v>
      </c>
      <c r="B32" s="12" t="s">
        <v>147</v>
      </c>
      <c r="D32" s="68">
        <f ca="1">(D30+D31)*D28</f>
        <v>2471468.3876858344</v>
      </c>
      <c r="E32" s="17" t="str">
        <f>"Line "&amp;A28&amp;" * (Line "&amp;A31&amp;" + Line "&amp;A30&amp;")"</f>
        <v>Line 205 * (Line 207 + Line 206)</v>
      </c>
      <c r="G32" s="8">
        <f t="shared" si="0"/>
        <v>208</v>
      </c>
    </row>
    <row r="33" spans="1:7">
      <c r="A33" s="8"/>
      <c r="D33" s="32"/>
      <c r="E33" s="17"/>
      <c r="G33" s="8"/>
    </row>
    <row r="34" spans="1:7">
      <c r="A34" s="8">
        <f>A32+1</f>
        <v>209</v>
      </c>
      <c r="B34" s="12" t="s">
        <v>78</v>
      </c>
      <c r="D34" s="68">
        <f ca="1">D32+D28</f>
        <v>315520697.76845884</v>
      </c>
      <c r="E34" t="str">
        <f>"Line "&amp;A28&amp;" + Line "&amp;A32&amp;""</f>
        <v>Line 205 + Line 208</v>
      </c>
      <c r="G34" s="8">
        <f t="shared" si="0"/>
        <v>209</v>
      </c>
    </row>
    <row r="36" spans="1:7">
      <c r="B36" s="16"/>
    </row>
    <row r="38" spans="1:7">
      <c r="D38" s="17"/>
    </row>
  </sheetData>
  <printOptions horizontalCentered="1"/>
  <pageMargins left="1" right="1" top="1" bottom="1" header="0.5" footer="0.5"/>
  <pageSetup scale="70"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115"/>
  <sheetViews>
    <sheetView tabSelected="1" view="pageBreakPreview" topLeftCell="A56" zoomScale="55" zoomScaleNormal="85" zoomScaleSheetLayoutView="55" zoomScalePageLayoutView="70" workbookViewId="0">
      <selection activeCell="P108" sqref="P108"/>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12.81640625" bestFit="1" customWidth="1"/>
    <col min="11" max="11" width="19" bestFit="1" customWidth="1"/>
    <col min="12" max="12" width="18.81640625" customWidth="1"/>
    <col min="13" max="13" width="12.81640625" bestFit="1" customWidth="1"/>
    <col min="15" max="15" width="14.54296875" bestFit="1" customWidth="1"/>
    <col min="16" max="16" width="12.54296875" bestFit="1" customWidth="1"/>
  </cols>
  <sheetData>
    <row r="1" spans="1:12">
      <c r="C1" s="14" t="s">
        <v>81</v>
      </c>
      <c r="F1" s="15"/>
      <c r="G1" s="15" t="str">
        <f>CONCATENATE("Prior Year: ",'1-BaseTRR'!$F$2)</f>
        <v>Prior Year: 2022</v>
      </c>
    </row>
    <row r="2" spans="1:12">
      <c r="C2" s="46" t="s">
        <v>196</v>
      </c>
      <c r="F2" s="15"/>
    </row>
    <row r="3" spans="1:12">
      <c r="A3" s="14"/>
      <c r="B3" s="14"/>
      <c r="C3" s="12"/>
      <c r="I3" s="15"/>
      <c r="J3" s="12"/>
    </row>
    <row r="4" spans="1:12">
      <c r="C4" s="52" t="s">
        <v>175</v>
      </c>
      <c r="D4" s="53"/>
      <c r="E4" s="54"/>
      <c r="F4" s="54"/>
      <c r="G4" s="54"/>
    </row>
    <row r="5" spans="1:12">
      <c r="A5" s="13" t="s">
        <v>124</v>
      </c>
      <c r="B5" s="13"/>
      <c r="C5" s="13" t="s">
        <v>129</v>
      </c>
      <c r="E5" s="13" t="s">
        <v>80</v>
      </c>
      <c r="F5" s="13" t="s">
        <v>54</v>
      </c>
      <c r="G5" s="13" t="s">
        <v>11</v>
      </c>
      <c r="H5" s="13" t="str">
        <f>A5</f>
        <v>Line</v>
      </c>
    </row>
    <row r="6" spans="1:12">
      <c r="A6"/>
      <c r="B6"/>
      <c r="C6" s="11" t="s">
        <v>4</v>
      </c>
      <c r="D6" s="11"/>
    </row>
    <row r="7" spans="1:12">
      <c r="A7" s="8">
        <v>100</v>
      </c>
      <c r="C7" t="s">
        <v>1</v>
      </c>
      <c r="E7" s="22">
        <f>'7-PlantInService'!P25</f>
        <v>15256619954.619112</v>
      </c>
      <c r="F7" t="s">
        <v>1033</v>
      </c>
      <c r="G7" t="s">
        <v>158</v>
      </c>
      <c r="H7" s="8">
        <f>A7</f>
        <v>100</v>
      </c>
      <c r="K7" s="36"/>
      <c r="L7" s="33"/>
    </row>
    <row r="8" spans="1:12">
      <c r="A8" s="8">
        <f>A7+1</f>
        <v>101</v>
      </c>
      <c r="C8" t="s">
        <v>2</v>
      </c>
      <c r="E8" s="22">
        <f>'7-PlantInService'!D129</f>
        <v>1393948853.0521536</v>
      </c>
      <c r="F8" t="s">
        <v>1034</v>
      </c>
      <c r="G8" t="s">
        <v>230</v>
      </c>
      <c r="H8" s="8">
        <f t="shared" ref="H8:H10" si="0">A8</f>
        <v>101</v>
      </c>
      <c r="K8" s="36"/>
      <c r="L8" s="33"/>
    </row>
    <row r="9" spans="1:12">
      <c r="A9" s="8">
        <f t="shared" ref="A9:A10" si="1">A8+1</f>
        <v>102</v>
      </c>
      <c r="C9" t="s">
        <v>3</v>
      </c>
      <c r="E9" s="23">
        <f ca="1">+'8-AbandonedPlant'!N14</f>
        <v>0</v>
      </c>
      <c r="F9" t="s">
        <v>1463</v>
      </c>
      <c r="G9" t="s">
        <v>230</v>
      </c>
      <c r="H9" s="8">
        <f t="shared" si="0"/>
        <v>102</v>
      </c>
      <c r="K9" s="36"/>
      <c r="L9" s="33"/>
    </row>
    <row r="10" spans="1:12">
      <c r="A10" s="8">
        <f t="shared" si="1"/>
        <v>103</v>
      </c>
      <c r="C10" s="12" t="s">
        <v>12</v>
      </c>
      <c r="D10" s="12"/>
      <c r="E10" s="24">
        <f ca="1">SUM(E7:E9)</f>
        <v>16650568807.671265</v>
      </c>
      <c r="F10" s="6" t="str">
        <f>"Sum of Lines "&amp;A7&amp;" to "&amp;A9&amp;""</f>
        <v>Sum of Lines 100 to 102</v>
      </c>
      <c r="H10" s="8">
        <f t="shared" si="0"/>
        <v>103</v>
      </c>
      <c r="K10" s="36"/>
      <c r="L10" s="33"/>
    </row>
    <row r="11" spans="1:12">
      <c r="E11" s="33"/>
      <c r="K11" s="36"/>
    </row>
    <row r="12" spans="1:12">
      <c r="C12" s="11" t="s">
        <v>5</v>
      </c>
      <c r="D12" s="11"/>
      <c r="E12" s="33"/>
      <c r="K12" s="36"/>
    </row>
    <row r="13" spans="1:12">
      <c r="A13" s="8">
        <f>A10+1</f>
        <v>104</v>
      </c>
      <c r="C13" t="s">
        <v>6</v>
      </c>
      <c r="E13" s="22">
        <f>'13-WorkCap'!E26</f>
        <v>94423361.419041246</v>
      </c>
      <c r="F13" t="s">
        <v>1035</v>
      </c>
      <c r="G13" t="s">
        <v>158</v>
      </c>
      <c r="H13" s="8">
        <f t="shared" ref="H13:H16" si="2">A13</f>
        <v>104</v>
      </c>
      <c r="K13" s="36"/>
      <c r="L13" s="33"/>
    </row>
    <row r="14" spans="1:12">
      <c r="A14" s="8">
        <f>A13+1</f>
        <v>105</v>
      </c>
      <c r="C14" t="s">
        <v>144</v>
      </c>
      <c r="E14" s="22">
        <f>'13-WorkCap'!F57</f>
        <v>74616856</v>
      </c>
      <c r="F14" t="s">
        <v>1036</v>
      </c>
      <c r="G14" t="s">
        <v>158</v>
      </c>
      <c r="H14" s="8">
        <f t="shared" si="2"/>
        <v>105</v>
      </c>
      <c r="K14" s="36"/>
      <c r="L14" s="33"/>
    </row>
    <row r="15" spans="1:12">
      <c r="A15" s="8">
        <f t="shared" ref="A15:A16" si="3">A14+1</f>
        <v>106</v>
      </c>
      <c r="C15" t="s">
        <v>7</v>
      </c>
      <c r="E15" s="26">
        <f>(E80+E81)/10</f>
        <v>94439920.822499648</v>
      </c>
      <c r="F15" t="str">
        <f>"(Line "&amp;A80&amp;" + Line "&amp;A81&amp;") / 10"</f>
        <v>(Line 400 + Line 401) / 10</v>
      </c>
      <c r="H15" s="8">
        <f t="shared" si="2"/>
        <v>106</v>
      </c>
      <c r="K15" s="36"/>
      <c r="L15" s="33"/>
    </row>
    <row r="16" spans="1:12">
      <c r="A16" s="8">
        <f t="shared" si="3"/>
        <v>107</v>
      </c>
      <c r="C16" s="12" t="s">
        <v>13</v>
      </c>
      <c r="D16" s="12"/>
      <c r="E16" s="24">
        <f>SUM(E13:E15)</f>
        <v>263480138.24154091</v>
      </c>
      <c r="F16" s="6" t="str">
        <f>"Sum of Lines "&amp;A13&amp;" to "&amp;A15&amp;""</f>
        <v>Sum of Lines 104 to 106</v>
      </c>
      <c r="H16" s="8">
        <f t="shared" si="2"/>
        <v>107</v>
      </c>
      <c r="K16" s="36"/>
      <c r="L16" s="33"/>
    </row>
    <row r="17" spans="1:12">
      <c r="E17" s="33"/>
      <c r="K17" s="36"/>
    </row>
    <row r="18" spans="1:12">
      <c r="C18" s="11" t="s">
        <v>9</v>
      </c>
      <c r="D18" s="11"/>
      <c r="E18" s="33"/>
      <c r="K18" s="36"/>
    </row>
    <row r="19" spans="1:12">
      <c r="A19" s="8">
        <f>A16+1</f>
        <v>108</v>
      </c>
      <c r="C19" t="s">
        <v>8</v>
      </c>
      <c r="E19" s="22">
        <f>-'10-AccDep'!P27</f>
        <v>-3573217596.6248989</v>
      </c>
      <c r="F19" t="s">
        <v>1037</v>
      </c>
      <c r="G19" t="s">
        <v>1008</v>
      </c>
      <c r="H19" s="8">
        <f t="shared" ref="H19:H30" si="4">A19</f>
        <v>108</v>
      </c>
      <c r="K19" s="36"/>
      <c r="L19" s="33"/>
    </row>
    <row r="20" spans="1:12">
      <c r="A20" s="8">
        <f>A19+1</f>
        <v>109</v>
      </c>
      <c r="C20" t="s">
        <v>17</v>
      </c>
      <c r="E20" s="23">
        <f>-'10-AccDep'!D129</f>
        <v>-482743675.02472544</v>
      </c>
      <c r="F20" t="s">
        <v>1038</v>
      </c>
      <c r="G20" t="s">
        <v>1009</v>
      </c>
      <c r="H20" s="8">
        <f t="shared" si="4"/>
        <v>109</v>
      </c>
      <c r="K20" s="36"/>
      <c r="L20" s="33"/>
    </row>
    <row r="21" spans="1:12">
      <c r="A21" s="8">
        <f>A20+1</f>
        <v>110</v>
      </c>
      <c r="C21" s="12" t="s">
        <v>14</v>
      </c>
      <c r="D21" s="12"/>
      <c r="E21" s="353">
        <f>E19+E20</f>
        <v>-4055961271.6496243</v>
      </c>
      <c r="F21" t="str">
        <f>"Line "&amp;A19&amp;" + Line "&amp;A20&amp;""</f>
        <v>Line 108 + Line 109</v>
      </c>
      <c r="H21" s="8">
        <f t="shared" si="4"/>
        <v>110</v>
      </c>
      <c r="K21" s="36"/>
      <c r="L21" s="33"/>
    </row>
    <row r="22" spans="1:12">
      <c r="E22" s="33"/>
      <c r="K22" s="36"/>
    </row>
    <row r="23" spans="1:12">
      <c r="A23" s="8">
        <f>A21+1</f>
        <v>111</v>
      </c>
      <c r="B23" s="8" t="s">
        <v>1510</v>
      </c>
      <c r="C23" s="14" t="s">
        <v>10</v>
      </c>
      <c r="D23" s="14"/>
      <c r="E23" s="32">
        <f>'14-ADIT'!D23</f>
        <v>-1535183351.7320898</v>
      </c>
      <c r="F23" t="s">
        <v>1642</v>
      </c>
      <c r="G23" t="s">
        <v>231</v>
      </c>
      <c r="H23" s="8">
        <f t="shared" si="4"/>
        <v>111</v>
      </c>
      <c r="I23" t="s">
        <v>1510</v>
      </c>
      <c r="K23" s="36"/>
      <c r="L23" s="33"/>
    </row>
    <row r="24" spans="1:12">
      <c r="A24" s="8">
        <v>111</v>
      </c>
      <c r="B24" s="8" t="s">
        <v>1511</v>
      </c>
      <c r="C24" s="201" t="s">
        <v>1733</v>
      </c>
      <c r="D24" s="14"/>
      <c r="E24" s="32">
        <f>+'17-RegAssets-1'!C48</f>
        <v>-525337799.23584288</v>
      </c>
      <c r="F24" t="s">
        <v>1579</v>
      </c>
      <c r="G24" t="s">
        <v>231</v>
      </c>
      <c r="H24" s="8">
        <f t="shared" si="4"/>
        <v>111</v>
      </c>
      <c r="I24" t="s">
        <v>1511</v>
      </c>
      <c r="K24" s="36"/>
      <c r="L24" s="33"/>
    </row>
    <row r="25" spans="1:12">
      <c r="A25" s="8">
        <v>111</v>
      </c>
      <c r="B25" s="8" t="s">
        <v>1512</v>
      </c>
      <c r="C25" s="201" t="s">
        <v>1734</v>
      </c>
      <c r="D25" s="14"/>
      <c r="E25" s="32">
        <f>+E23+E24</f>
        <v>-2060521150.9679327</v>
      </c>
      <c r="F25" t="str">
        <f>"Line "&amp;A23&amp;"a + Line "&amp;A24&amp;"b"</f>
        <v>Line 111a + Line 111b</v>
      </c>
      <c r="G25" t="s">
        <v>231</v>
      </c>
      <c r="H25" s="8">
        <f t="shared" si="4"/>
        <v>111</v>
      </c>
      <c r="I25" t="s">
        <v>1512</v>
      </c>
      <c r="K25" s="36"/>
      <c r="L25" s="33"/>
    </row>
    <row r="26" spans="1:12">
      <c r="A26" s="8">
        <f>A23+1</f>
        <v>112</v>
      </c>
      <c r="C26" s="12" t="s">
        <v>15</v>
      </c>
      <c r="D26" s="12"/>
      <c r="E26" s="32">
        <f>-'15-NUC'!C20</f>
        <v>-142863173.063247</v>
      </c>
      <c r="F26" t="s">
        <v>1039</v>
      </c>
      <c r="G26" t="s">
        <v>1009</v>
      </c>
      <c r="H26" s="8">
        <f t="shared" si="4"/>
        <v>112</v>
      </c>
      <c r="K26" s="36"/>
      <c r="L26" s="33"/>
    </row>
    <row r="27" spans="1:12">
      <c r="A27" s="8">
        <f>A26+1</f>
        <v>113</v>
      </c>
      <c r="C27" s="12" t="str">
        <f>+'1-BaseTRR'!C27</f>
        <v>Unfunded Reserves</v>
      </c>
      <c r="D27" s="12"/>
      <c r="E27" s="32">
        <f>'16-UnfundedReserves'!E5</f>
        <v>-125198867</v>
      </c>
      <c r="F27" t="s">
        <v>1613</v>
      </c>
      <c r="G27" t="s">
        <v>230</v>
      </c>
      <c r="H27" s="8">
        <f t="shared" si="4"/>
        <v>113</v>
      </c>
      <c r="K27" s="36"/>
      <c r="L27" s="33"/>
    </row>
    <row r="28" spans="1:12">
      <c r="A28" s="8">
        <f>A27+1</f>
        <v>114</v>
      </c>
      <c r="C28" s="12" t="s">
        <v>16</v>
      </c>
      <c r="D28" s="12"/>
      <c r="E28" s="22">
        <f>'17-RegAssets-1'!E26</f>
        <v>0</v>
      </c>
      <c r="F28" t="s">
        <v>1040</v>
      </c>
      <c r="G28" t="s">
        <v>230</v>
      </c>
      <c r="H28" s="8">
        <f t="shared" si="4"/>
        <v>114</v>
      </c>
      <c r="K28" s="36"/>
      <c r="L28" s="33"/>
    </row>
    <row r="29" spans="1:12">
      <c r="C29" s="12"/>
      <c r="D29" s="12"/>
      <c r="E29" s="22"/>
      <c r="H29" s="8"/>
      <c r="K29" s="36"/>
    </row>
    <row r="30" spans="1:12">
      <c r="A30" s="8">
        <f>A28+1</f>
        <v>115</v>
      </c>
      <c r="C30" s="12" t="s">
        <v>0</v>
      </c>
      <c r="D30" s="12"/>
      <c r="E30" s="68">
        <f ca="1">+E10+E16+E21+E25+E26+E28+E27</f>
        <v>10529504483.232002</v>
      </c>
      <c r="F30" t="str">
        <f>"Sum of Lines "&amp;A10&amp;", "&amp;A16&amp;", "&amp;A21&amp;" and Lines "&amp;A25&amp;B25&amp;" to "&amp;A28&amp;""</f>
        <v>Sum of Lines 103, 107, 110 and Lines 111c to 114</v>
      </c>
      <c r="H30" s="8">
        <f t="shared" si="4"/>
        <v>115</v>
      </c>
      <c r="K30" s="36"/>
      <c r="L30" s="33"/>
    </row>
    <row r="31" spans="1:12">
      <c r="E31" s="17"/>
      <c r="H31" s="8"/>
    </row>
    <row r="32" spans="1:12">
      <c r="C32" s="52" t="s">
        <v>176</v>
      </c>
      <c r="D32" s="54"/>
      <c r="E32" s="54"/>
      <c r="F32" s="54"/>
      <c r="G32" s="54"/>
    </row>
    <row r="33" spans="1:12">
      <c r="C33" s="12" t="s">
        <v>135</v>
      </c>
    </row>
    <row r="34" spans="1:12">
      <c r="C34" s="812" t="s">
        <v>1338</v>
      </c>
      <c r="D34" s="812"/>
      <c r="E34" s="812"/>
      <c r="F34" s="812"/>
      <c r="G34" s="812"/>
    </row>
    <row r="35" spans="1:12">
      <c r="C35" s="14"/>
    </row>
    <row r="36" spans="1:12">
      <c r="A36" s="13" t="s">
        <v>124</v>
      </c>
      <c r="B36" s="13"/>
      <c r="C36" s="13" t="s">
        <v>129</v>
      </c>
      <c r="E36" s="13" t="s">
        <v>80</v>
      </c>
      <c r="F36" s="13" t="s">
        <v>54</v>
      </c>
      <c r="G36" s="13" t="s">
        <v>11</v>
      </c>
      <c r="H36" s="13" t="str">
        <f>A36</f>
        <v>Line</v>
      </c>
    </row>
    <row r="37" spans="1:12" ht="77.25" customHeight="1">
      <c r="A37" s="8">
        <v>200</v>
      </c>
      <c r="C37" t="s">
        <v>1339</v>
      </c>
      <c r="E37" s="50">
        <v>0.1045</v>
      </c>
      <c r="F37" s="49" t="s">
        <v>1337</v>
      </c>
      <c r="G37" s="44" t="s">
        <v>1397</v>
      </c>
      <c r="H37" s="8">
        <f t="shared" ref="H37" si="5">A37</f>
        <v>200</v>
      </c>
      <c r="K37" s="28"/>
      <c r="L37" s="31"/>
    </row>
    <row r="38" spans="1:12">
      <c r="C38" s="14"/>
    </row>
    <row r="39" spans="1:12">
      <c r="C39" s="11" t="s">
        <v>47</v>
      </c>
      <c r="D39" s="11"/>
    </row>
    <row r="40" spans="1:12" ht="43.5">
      <c r="A40" s="8">
        <f>A37+1</f>
        <v>201</v>
      </c>
      <c r="C40" t="s">
        <v>48</v>
      </c>
      <c r="E40" s="29">
        <f>('5-CostofCap-3'!F22/('5-CostofCap-2'!C13-'5-CostofCap-2'!C15+'5-CostofCap-2'!C17+'5-CostofCap-2'!C19+'5-CostofCap-2'!C21-'5-CostofCap-2'!C23-'5-CostofCap-2'!C25-'5-CostofCap-2'!C27))*'1-BaseTRR'!D50</f>
        <v>1.6849602842978394E-2</v>
      </c>
      <c r="F40" s="44" t="s">
        <v>1730</v>
      </c>
      <c r="G40" t="s">
        <v>158</v>
      </c>
      <c r="H40" s="8">
        <f t="shared" ref="H40:H43" si="6">A40</f>
        <v>201</v>
      </c>
      <c r="K40" s="28"/>
      <c r="L40" s="273"/>
    </row>
    <row r="41" spans="1:12">
      <c r="A41" s="8">
        <f>A40+1</f>
        <v>202</v>
      </c>
      <c r="C41" t="s">
        <v>49</v>
      </c>
      <c r="E41" s="29">
        <f>'1-BaseTRR'!D64</f>
        <v>2.7605794758881429E-4</v>
      </c>
      <c r="F41" t="str">
        <f>CONCATENATE("1-BaseTRR, L. ",'1-BaseTRR'!A64)</f>
        <v>1-BaseTRR, L. 217</v>
      </c>
      <c r="H41" s="8">
        <f t="shared" si="6"/>
        <v>202</v>
      </c>
      <c r="K41" s="28"/>
      <c r="L41" s="273"/>
    </row>
    <row r="42" spans="1:12">
      <c r="A42" s="8">
        <f>A41+1</f>
        <v>203</v>
      </c>
      <c r="C42" t="s">
        <v>50</v>
      </c>
      <c r="E42" s="411">
        <f>E37*'1-BaseTRR'!D52</f>
        <v>5.198875E-2</v>
      </c>
      <c r="F42" t="str">
        <f>CONCATENATE("Line ",A37," * ","1-BaseTRR, L. ",'1-BaseTRR'!A52)</f>
        <v>Line 200 * 1-BaseTRR, L. 210</v>
      </c>
      <c r="H42" s="8">
        <f t="shared" si="6"/>
        <v>203</v>
      </c>
      <c r="K42" s="28"/>
      <c r="L42" s="273"/>
    </row>
    <row r="43" spans="1:12">
      <c r="A43" s="8">
        <f>A42+1</f>
        <v>204</v>
      </c>
      <c r="C43" s="12" t="s">
        <v>51</v>
      </c>
      <c r="D43" s="12"/>
      <c r="E43" s="371">
        <f>SUM(E40:E42)</f>
        <v>6.911441079056721E-2</v>
      </c>
      <c r="F43" s="6" t="str">
        <f>"Sum of Lines "&amp;A40&amp;" to "&amp;A42&amp;""</f>
        <v>Sum of Lines 201 to 203</v>
      </c>
      <c r="H43" s="8">
        <f t="shared" si="6"/>
        <v>204</v>
      </c>
      <c r="K43" s="28"/>
      <c r="L43" s="273"/>
    </row>
    <row r="44" spans="1:12">
      <c r="K44" s="28"/>
      <c r="L44" s="273"/>
    </row>
    <row r="45" spans="1:12">
      <c r="A45" s="8">
        <f>A43+1</f>
        <v>205</v>
      </c>
      <c r="C45" s="12" t="s">
        <v>52</v>
      </c>
      <c r="D45" s="12"/>
      <c r="E45" s="371">
        <f>E41+E42</f>
        <v>5.2264807947588816E-2</v>
      </c>
      <c r="F45" t="str">
        <f>"Line "&amp;A41&amp;" + Line "&amp;A42&amp;""</f>
        <v>Line 202 + Line 203</v>
      </c>
      <c r="G45" s="17"/>
      <c r="H45" s="8">
        <f t="shared" ref="H45" si="7">A45</f>
        <v>205</v>
      </c>
      <c r="K45" s="28"/>
      <c r="L45" s="273"/>
    </row>
    <row r="46" spans="1:12">
      <c r="A46" s="8">
        <f>A45+1</f>
        <v>206</v>
      </c>
      <c r="C46" s="12" t="s">
        <v>1428</v>
      </c>
      <c r="D46" s="12"/>
      <c r="E46" s="371">
        <f>'1-BaseTRR'!D69</f>
        <v>0</v>
      </c>
      <c r="F46" t="str">
        <f>CONCATENATE("1-BaseTRR, L. ",'1-BaseTRR'!A69)</f>
        <v>1-BaseTRR, L. 221</v>
      </c>
      <c r="G46" s="17"/>
      <c r="H46" s="8"/>
      <c r="L46" s="273"/>
    </row>
    <row r="47" spans="1:12">
      <c r="H47" s="8"/>
    </row>
    <row r="48" spans="1:12">
      <c r="A48" s="8">
        <f>A46+1</f>
        <v>207</v>
      </c>
      <c r="C48" t="s">
        <v>53</v>
      </c>
      <c r="D48" s="12"/>
      <c r="E48" s="22">
        <f ca="1">E43*E30</f>
        <v>727740498.27521574</v>
      </c>
      <c r="F48" t="str">
        <f>"Line "&amp;A43&amp;" * Line "&amp;A30&amp;""</f>
        <v>Line 204 * Line 115</v>
      </c>
      <c r="H48" s="8">
        <f t="shared" ref="H48" si="8">A48</f>
        <v>207</v>
      </c>
      <c r="K48" s="36"/>
      <c r="L48" s="33"/>
    </row>
    <row r="49" spans="1:12">
      <c r="A49" s="8">
        <f>A48+1</f>
        <v>208</v>
      </c>
      <c r="C49" t="s">
        <v>1430</v>
      </c>
      <c r="D49" s="12"/>
      <c r="E49" s="32">
        <f ca="1">E46*E9</f>
        <v>0</v>
      </c>
      <c r="F49" t="str">
        <f>"Line "&amp;A9&amp;" * Line "&amp;A46&amp;""</f>
        <v>Line 102 * Line 206</v>
      </c>
      <c r="H49" s="8"/>
      <c r="K49" s="36"/>
      <c r="L49" s="33"/>
    </row>
    <row r="50" spans="1:12">
      <c r="A50" s="8">
        <f>A49+1</f>
        <v>209</v>
      </c>
      <c r="C50" s="12" t="s">
        <v>1429</v>
      </c>
      <c r="D50" s="12"/>
      <c r="E50" s="68">
        <f ca="1">E48-E49</f>
        <v>727740498.27521574</v>
      </c>
      <c r="F50" t="str">
        <f>"Line "&amp;A48&amp;" - Line "&amp;A49&amp;""</f>
        <v>Line 207 - Line 208</v>
      </c>
      <c r="H50" s="8"/>
      <c r="K50" s="36"/>
      <c r="L50" s="33"/>
    </row>
    <row r="52" spans="1:12">
      <c r="C52" s="52" t="s">
        <v>186</v>
      </c>
      <c r="D52" s="54"/>
      <c r="E52" s="54"/>
      <c r="F52" s="54"/>
      <c r="G52" s="54"/>
    </row>
    <row r="53" spans="1:12">
      <c r="C53" s="12" t="s">
        <v>135</v>
      </c>
    </row>
    <row r="54" spans="1:12">
      <c r="C54" s="812" t="s">
        <v>1451</v>
      </c>
      <c r="D54" s="812"/>
      <c r="E54" s="812"/>
      <c r="F54" s="812"/>
      <c r="G54" s="812"/>
    </row>
    <row r="55" spans="1:12">
      <c r="C55" s="14"/>
    </row>
    <row r="56" spans="1:12">
      <c r="A56" s="13" t="s">
        <v>124</v>
      </c>
      <c r="B56" s="13"/>
      <c r="C56" s="13" t="s">
        <v>129</v>
      </c>
      <c r="E56" s="13" t="s">
        <v>80</v>
      </c>
      <c r="F56" s="13" t="s">
        <v>54</v>
      </c>
      <c r="G56" s="13" t="s">
        <v>11</v>
      </c>
      <c r="H56" s="13" t="str">
        <f>A56</f>
        <v>Line</v>
      </c>
    </row>
    <row r="57" spans="1:12">
      <c r="A57" s="8">
        <v>300</v>
      </c>
      <c r="C57" t="s">
        <v>56</v>
      </c>
      <c r="E57" s="31">
        <f>'22-TaxRates'!C13</f>
        <v>0.21</v>
      </c>
      <c r="F57" t="s">
        <v>1481</v>
      </c>
      <c r="H57" s="8">
        <f t="shared" ref="H57:H59" si="9">A57</f>
        <v>300</v>
      </c>
      <c r="K57" s="28"/>
      <c r="L57" s="31"/>
    </row>
    <row r="58" spans="1:12">
      <c r="A58" s="8">
        <f>A57+1</f>
        <v>301</v>
      </c>
      <c r="C58" t="s">
        <v>57</v>
      </c>
      <c r="E58" s="411">
        <f>'22-TaxRates'!C14</f>
        <v>8.8400000000000006E-2</v>
      </c>
      <c r="F58" t="s">
        <v>1482</v>
      </c>
      <c r="H58" s="8">
        <f t="shared" si="9"/>
        <v>301</v>
      </c>
      <c r="K58" s="28"/>
      <c r="L58" s="31"/>
    </row>
    <row r="59" spans="1:12">
      <c r="A59" s="8">
        <f>A58+1</f>
        <v>302</v>
      </c>
      <c r="C59" s="12" t="s">
        <v>58</v>
      </c>
      <c r="D59" s="12"/>
      <c r="E59" s="371">
        <f>(E57+E58)-(E57*E58)</f>
        <v>0.27983599999999997</v>
      </c>
      <c r="F59" s="17" t="str">
        <f>"(Line "&amp;A57&amp;" + Line "&amp;A58&amp;") - (Line "&amp;A57&amp;" * Line "&amp;A58&amp;")"</f>
        <v>(Line 300 + Line 301) - (Line 300 * Line 301)</v>
      </c>
      <c r="H59" s="8">
        <f t="shared" si="9"/>
        <v>302</v>
      </c>
      <c r="K59" s="28"/>
      <c r="L59" s="31"/>
    </row>
    <row r="61" spans="1:12">
      <c r="A61" s="8">
        <f>A59+1</f>
        <v>303</v>
      </c>
      <c r="C61" s="12" t="s">
        <v>60</v>
      </c>
      <c r="E61" s="24">
        <f ca="1">(((E66*E67)+E70-E71)*(E68/(1-E68)))+E69/(1-E68)</f>
        <v>187780019.31434634</v>
      </c>
      <c r="F61" t="str">
        <f>"Line "&amp;A63</f>
        <v>Line 304</v>
      </c>
      <c r="H61" s="8">
        <f t="shared" ref="H61" si="10">A61</f>
        <v>303</v>
      </c>
      <c r="K61" s="36"/>
      <c r="L61" s="33"/>
    </row>
    <row r="62" spans="1:12">
      <c r="K62" s="36"/>
    </row>
    <row r="63" spans="1:12">
      <c r="A63" s="8">
        <f>A61+1</f>
        <v>304</v>
      </c>
      <c r="C63" t="s">
        <v>1432</v>
      </c>
      <c r="H63" s="8">
        <f t="shared" ref="H63" si="11">A63</f>
        <v>304</v>
      </c>
      <c r="K63" s="36"/>
    </row>
    <row r="64" spans="1:12">
      <c r="K64" s="36"/>
    </row>
    <row r="65" spans="1:12">
      <c r="C65" t="s">
        <v>61</v>
      </c>
      <c r="K65" s="36"/>
    </row>
    <row r="66" spans="1:12">
      <c r="A66" s="8">
        <f>A63+1</f>
        <v>305</v>
      </c>
      <c r="C66" s="35" t="s">
        <v>62</v>
      </c>
      <c r="D66" s="35"/>
      <c r="E66" s="22">
        <f ca="1">+E30</f>
        <v>10529504483.232002</v>
      </c>
      <c r="F66" t="str">
        <f>"Line "&amp;A30</f>
        <v>Line 115</v>
      </c>
      <c r="G66" s="21"/>
      <c r="H66" s="8">
        <f t="shared" ref="H66:H70" si="12">A66</f>
        <v>305</v>
      </c>
      <c r="K66" s="36"/>
      <c r="L66" s="33"/>
    </row>
    <row r="67" spans="1:12">
      <c r="A67" s="8">
        <f>A66+1</f>
        <v>306</v>
      </c>
      <c r="C67" s="18" t="s">
        <v>63</v>
      </c>
      <c r="D67" s="18"/>
      <c r="E67" s="31">
        <f>E45</f>
        <v>5.2264807947588816E-2</v>
      </c>
      <c r="F67" t="str">
        <f>"Line "&amp;A45</f>
        <v>Line 205</v>
      </c>
      <c r="H67" s="8">
        <f t="shared" si="12"/>
        <v>306</v>
      </c>
      <c r="K67" s="802"/>
      <c r="L67" s="31"/>
    </row>
    <row r="68" spans="1:12">
      <c r="A68" s="8">
        <f t="shared" ref="A68:A69" si="13">A67+1</f>
        <v>307</v>
      </c>
      <c r="C68" s="35" t="s">
        <v>64</v>
      </c>
      <c r="D68" s="35"/>
      <c r="E68" s="28">
        <f>E59</f>
        <v>0.27983599999999997</v>
      </c>
      <c r="F68" t="str">
        <f>"Line "&amp;A59</f>
        <v>Line 302</v>
      </c>
      <c r="H68" s="8">
        <f t="shared" si="12"/>
        <v>307</v>
      </c>
      <c r="K68" s="802"/>
      <c r="L68" s="31"/>
    </row>
    <row r="69" spans="1:12">
      <c r="A69" s="8">
        <f t="shared" si="13"/>
        <v>308</v>
      </c>
      <c r="C69" s="35" t="s">
        <v>65</v>
      </c>
      <c r="D69" s="35"/>
      <c r="E69" s="22">
        <f>'1-BaseTRR'!D108</f>
        <v>-21911028.051942907</v>
      </c>
      <c r="F69" t="str">
        <f>CONCATENATE("1-BaseTRR, L. ",'1-BaseTRR'!A108)</f>
        <v>1-BaseTRR, L. 407</v>
      </c>
      <c r="H69" s="8">
        <f t="shared" si="12"/>
        <v>308</v>
      </c>
      <c r="K69" s="36"/>
      <c r="L69" s="33"/>
    </row>
    <row r="70" spans="1:12">
      <c r="A70" s="8">
        <f>A69+1</f>
        <v>309</v>
      </c>
      <c r="C70" s="35" t="s">
        <v>139</v>
      </c>
      <c r="D70" s="35"/>
      <c r="E70" s="22">
        <f>'1-BaseTRR'!D103</f>
        <v>11232945.326774467</v>
      </c>
      <c r="F70" t="str">
        <f>CONCATENATE("1-BaseTRR, L. ",'1-BaseTRR'!A103)</f>
        <v>1-BaseTRR, L. 404</v>
      </c>
      <c r="H70" s="8">
        <f t="shared" si="12"/>
        <v>309</v>
      </c>
      <c r="K70" s="36"/>
      <c r="L70" s="33"/>
    </row>
    <row r="71" spans="1:12">
      <c r="A71" s="8">
        <f t="shared" ref="A71" si="14">A70+1</f>
        <v>310</v>
      </c>
      <c r="C71" s="35" t="s">
        <v>1431</v>
      </c>
      <c r="D71" s="35"/>
      <c r="E71" s="32">
        <f ca="1">E49</f>
        <v>0</v>
      </c>
      <c r="F71" t="str">
        <f>"Line "&amp;A49&amp;""</f>
        <v>Line 208</v>
      </c>
      <c r="H71" s="8"/>
      <c r="K71" s="36"/>
      <c r="L71" s="33"/>
    </row>
    <row r="73" spans="1:12">
      <c r="C73" s="52" t="s">
        <v>187</v>
      </c>
      <c r="D73" s="54"/>
      <c r="E73" s="54"/>
      <c r="F73" s="54"/>
      <c r="G73" s="54"/>
    </row>
    <row r="74" spans="1:12">
      <c r="C74" s="12" t="s">
        <v>135</v>
      </c>
    </row>
    <row r="75" spans="1:12">
      <c r="C75" s="811" t="str">
        <f>"1) Input the Annual True-up Adjustment that was included in the Prior Year's rates on Line "&amp;A101&amp;" and input the Rate Year the ATA trued-up. (For example,  if the Prior Year is 2021, then the ATA that was included in the 2021 rates was the ATA for 2019.)"</f>
        <v>1) Input the Annual True-up Adjustment that was included in the Prior Year's rates on Line 416 and input the Rate Year the ATA trued-up. (For example,  if the Prior Year is 2021, then the ATA that was included in the 2021 rates was the ATA for 2019.)</v>
      </c>
      <c r="D75" s="811"/>
      <c r="E75" s="811"/>
      <c r="F75" s="811"/>
      <c r="G75" s="811"/>
    </row>
    <row r="76" spans="1:12">
      <c r="C76" s="811"/>
      <c r="D76" s="811"/>
      <c r="E76" s="811"/>
      <c r="F76" s="811"/>
      <c r="G76" s="811"/>
    </row>
    <row r="77" spans="1:12">
      <c r="C77" s="6"/>
    </row>
    <row r="78" spans="1:12">
      <c r="A78" s="13" t="s">
        <v>124</v>
      </c>
      <c r="B78" s="13"/>
      <c r="C78" s="13" t="s">
        <v>129</v>
      </c>
      <c r="E78" s="13" t="s">
        <v>80</v>
      </c>
      <c r="F78" s="13" t="s">
        <v>54</v>
      </c>
      <c r="G78" s="13" t="s">
        <v>11</v>
      </c>
      <c r="H78" s="13" t="str">
        <f>A78</f>
        <v>Line</v>
      </c>
    </row>
    <row r="79" spans="1:12">
      <c r="C79" s="11" t="s">
        <v>130</v>
      </c>
      <c r="D79" s="11"/>
    </row>
    <row r="80" spans="1:12">
      <c r="A80" s="8">
        <v>400</v>
      </c>
      <c r="C80" t="s">
        <v>66</v>
      </c>
      <c r="E80" s="22">
        <f>'1-BaseTRR'!D125</f>
        <v>632960218.36720455</v>
      </c>
      <c r="F80" t="str">
        <f>CONCATENATE("1-BaseTRR, L. ",'1-BaseTRR'!A125)</f>
        <v>1-BaseTRR, L. 500</v>
      </c>
      <c r="H80" s="8">
        <f t="shared" ref="H80:H94" si="15">A80</f>
        <v>400</v>
      </c>
      <c r="K80" s="36"/>
      <c r="L80" s="33"/>
    </row>
    <row r="81" spans="1:12">
      <c r="A81" s="8">
        <f>A80+1</f>
        <v>401</v>
      </c>
      <c r="C81" t="s">
        <v>67</v>
      </c>
      <c r="E81" s="22">
        <f>'1-BaseTRR'!D126</f>
        <v>311438989.8577919</v>
      </c>
      <c r="F81" t="str">
        <f>CONCATENATE("1-BaseTRR, L. ",'1-BaseTRR'!A126)</f>
        <v>1-BaseTRR, L. 501</v>
      </c>
      <c r="H81" s="8">
        <f t="shared" si="15"/>
        <v>401</v>
      </c>
      <c r="K81" s="36"/>
      <c r="L81" s="33"/>
    </row>
    <row r="82" spans="1:12">
      <c r="A82" s="8">
        <f t="shared" ref="A82:A91" si="16">A81+1</f>
        <v>402</v>
      </c>
      <c r="C82" t="s">
        <v>68</v>
      </c>
      <c r="E82" s="22">
        <f>'1-BaseTRR'!D127</f>
        <v>1745354.32</v>
      </c>
      <c r="F82" t="str">
        <f>CONCATENATE("1-BaseTRR, L. ",'1-BaseTRR'!A127)</f>
        <v>1-BaseTRR, L. 502</v>
      </c>
      <c r="H82" s="8">
        <f t="shared" si="15"/>
        <v>402</v>
      </c>
      <c r="K82" s="36"/>
      <c r="L82" s="33"/>
    </row>
    <row r="83" spans="1:12">
      <c r="A83" s="8">
        <f t="shared" si="16"/>
        <v>403</v>
      </c>
      <c r="C83" t="s">
        <v>142</v>
      </c>
      <c r="E83" s="22">
        <f>'1-BaseTRR'!D128</f>
        <v>537037675.40049243</v>
      </c>
      <c r="F83" t="str">
        <f>CONCATENATE("1-BaseTRR, L. ",'1-BaseTRR'!A128)</f>
        <v>1-BaseTRR, L. 503</v>
      </c>
      <c r="H83" s="8">
        <f t="shared" si="15"/>
        <v>403</v>
      </c>
      <c r="K83" s="36"/>
      <c r="L83" s="33"/>
    </row>
    <row r="84" spans="1:12">
      <c r="A84" s="8">
        <f t="shared" si="16"/>
        <v>404</v>
      </c>
      <c r="C84" t="s">
        <v>69</v>
      </c>
      <c r="E84" s="22">
        <f ca="1">+'8-AbandonedPlant'!I14</f>
        <v>0</v>
      </c>
      <c r="F84" t="s">
        <v>1729</v>
      </c>
      <c r="H84" s="8">
        <f t="shared" si="15"/>
        <v>404</v>
      </c>
      <c r="K84" s="36"/>
      <c r="L84" s="33"/>
    </row>
    <row r="85" spans="1:12">
      <c r="A85" s="8">
        <f t="shared" si="16"/>
        <v>405</v>
      </c>
      <c r="C85" t="s">
        <v>71</v>
      </c>
      <c r="E85" s="22">
        <f ca="1">E50</f>
        <v>727740498.27521574</v>
      </c>
      <c r="F85" t="str">
        <f>"Line "&amp;A50&amp;""</f>
        <v>Line 209</v>
      </c>
      <c r="H85" s="8">
        <f t="shared" si="15"/>
        <v>405</v>
      </c>
      <c r="K85" s="36"/>
      <c r="L85" s="33"/>
    </row>
    <row r="86" spans="1:12">
      <c r="A86" s="8">
        <f t="shared" si="16"/>
        <v>406</v>
      </c>
      <c r="C86" t="s">
        <v>18</v>
      </c>
      <c r="E86" s="22">
        <f>'1-BaseTRR'!D132</f>
        <v>144963797.97262129</v>
      </c>
      <c r="F86" t="str">
        <f>CONCATENATE("1-BaseTRR, L. ",'1-BaseTRR'!A132)</f>
        <v>1-BaseTRR, L. 507</v>
      </c>
      <c r="H86" s="8">
        <f t="shared" si="15"/>
        <v>406</v>
      </c>
      <c r="K86" s="36"/>
      <c r="L86" s="33"/>
    </row>
    <row r="87" spans="1:12">
      <c r="A87" s="8">
        <f t="shared" si="16"/>
        <v>407</v>
      </c>
      <c r="C87" t="s">
        <v>55</v>
      </c>
      <c r="E87" s="22">
        <f ca="1">E61</f>
        <v>187780019.31434634</v>
      </c>
      <c r="F87" t="str">
        <f>"Line "&amp;A61&amp;""</f>
        <v>Line 303</v>
      </c>
      <c r="H87" s="8">
        <f t="shared" si="15"/>
        <v>407</v>
      </c>
      <c r="K87" s="36"/>
      <c r="L87" s="33"/>
    </row>
    <row r="88" spans="1:12">
      <c r="A88" s="8">
        <f t="shared" si="16"/>
        <v>408</v>
      </c>
      <c r="C88" t="s">
        <v>70</v>
      </c>
      <c r="E88" s="22">
        <f>'1-BaseTRR'!D134</f>
        <v>-14606488.819800004</v>
      </c>
      <c r="F88" t="str">
        <f>CONCATENATE("1-BaseTRR, L. ",'1-BaseTRR'!A134)</f>
        <v>1-BaseTRR, L. 509</v>
      </c>
      <c r="G88" t="s">
        <v>188</v>
      </c>
      <c r="H88" s="8">
        <f t="shared" si="15"/>
        <v>408</v>
      </c>
      <c r="K88" s="36"/>
      <c r="L88" s="33"/>
    </row>
    <row r="89" spans="1:12">
      <c r="A89" s="8">
        <f t="shared" si="16"/>
        <v>409</v>
      </c>
      <c r="C89" t="s">
        <v>132</v>
      </c>
      <c r="E89" s="22">
        <f>'1-BaseTRR'!D135</f>
        <v>-19860596.636095401</v>
      </c>
      <c r="F89" t="str">
        <f>CONCATENATE("1-BaseTRR, L. ",'1-BaseTRR'!A135)</f>
        <v>1-BaseTRR, L. 510</v>
      </c>
      <c r="G89" t="s">
        <v>188</v>
      </c>
      <c r="H89" s="8">
        <f t="shared" si="15"/>
        <v>409</v>
      </c>
      <c r="K89" s="36"/>
      <c r="L89" s="33"/>
    </row>
    <row r="90" spans="1:12">
      <c r="A90" s="8">
        <f t="shared" si="16"/>
        <v>410</v>
      </c>
      <c r="C90" t="s">
        <v>72</v>
      </c>
      <c r="E90" s="23">
        <f>'1-BaseTRR'!D136</f>
        <v>0</v>
      </c>
      <c r="F90" t="str">
        <f>CONCATENATE("1-BaseTRR, L. ",'1-BaseTRR'!A136)</f>
        <v>1-BaseTRR, L. 511</v>
      </c>
      <c r="H90" s="8">
        <f t="shared" si="15"/>
        <v>410</v>
      </c>
      <c r="K90" s="36"/>
      <c r="L90" s="33"/>
    </row>
    <row r="91" spans="1:12">
      <c r="A91" s="8">
        <f t="shared" si="16"/>
        <v>411</v>
      </c>
      <c r="C91" s="12" t="s">
        <v>79</v>
      </c>
      <c r="D91" s="12"/>
      <c r="E91" s="24">
        <f ca="1">SUM(E80:E90)</f>
        <v>2509199468.0517769</v>
      </c>
      <c r="F91" t="str">
        <f>"Sum Lines "&amp;A80&amp;" to "&amp;A90&amp;""</f>
        <v>Sum Lines 400 to 410</v>
      </c>
      <c r="H91" s="8">
        <f t="shared" si="15"/>
        <v>411</v>
      </c>
      <c r="K91" s="36"/>
      <c r="L91" s="33"/>
    </row>
    <row r="92" spans="1:12">
      <c r="H92" s="8"/>
    </row>
    <row r="93" spans="1:12">
      <c r="C93" s="11" t="s">
        <v>73</v>
      </c>
      <c r="D93" s="11"/>
    </row>
    <row r="94" spans="1:12">
      <c r="A94" s="8">
        <f>A91+1</f>
        <v>412</v>
      </c>
      <c r="C94" t="s">
        <v>146</v>
      </c>
      <c r="E94" s="19">
        <f>'1-BaseTRR'!D140</f>
        <v>7.6870000000000003E-3</v>
      </c>
      <c r="F94" t="str">
        <f>CONCATENATE("1-BaseTRR, L. ",'1-BaseTRR'!A140)</f>
        <v>1-BaseTRR, L. 513</v>
      </c>
      <c r="H94" s="8">
        <f t="shared" si="15"/>
        <v>412</v>
      </c>
      <c r="K94" s="28"/>
      <c r="L94" s="31"/>
    </row>
    <row r="95" spans="1:12">
      <c r="A95" s="8">
        <f>A94+1</f>
        <v>413</v>
      </c>
      <c r="C95" t="s">
        <v>141</v>
      </c>
      <c r="D95" s="12"/>
      <c r="E95" s="42">
        <f>'1-BaseTRR'!D141</f>
        <v>2.0782341986441631E-4</v>
      </c>
      <c r="F95" t="str">
        <f>CONCATENATE("1-BaseTRR, L. ",'1-BaseTRR'!A141)</f>
        <v>1-BaseTRR, L. 514</v>
      </c>
      <c r="H95" s="8">
        <f t="shared" ref="H95:H108" si="17">A95</f>
        <v>413</v>
      </c>
      <c r="K95" s="28"/>
      <c r="L95" s="31"/>
    </row>
    <row r="96" spans="1:12">
      <c r="A96" s="8">
        <f>A95+1</f>
        <v>414</v>
      </c>
      <c r="C96" s="12" t="s">
        <v>147</v>
      </c>
      <c r="D96" s="12"/>
      <c r="E96" s="24">
        <f ca="1">(E94+E95)*E91</f>
        <v>19809686.725486502</v>
      </c>
      <c r="F96" s="17" t="str">
        <f>"Line "&amp;A91&amp;" * ( Line "&amp;A94&amp;" + Line "&amp;A95&amp;")"</f>
        <v>Line 411 * ( Line 412 + Line 413)</v>
      </c>
      <c r="H96" s="8">
        <f t="shared" si="17"/>
        <v>414</v>
      </c>
      <c r="L96" s="33"/>
    </row>
    <row r="97" spans="1:13">
      <c r="C97" s="12"/>
      <c r="D97" s="12"/>
      <c r="E97" s="22"/>
      <c r="H97" s="8"/>
    </row>
    <row r="98" spans="1:13">
      <c r="A98" s="8">
        <f>A96+1</f>
        <v>415</v>
      </c>
      <c r="C98" s="12" t="s">
        <v>184</v>
      </c>
      <c r="D98" s="12"/>
      <c r="E98" s="24">
        <f ca="1">E96+E91</f>
        <v>2529009154.7772632</v>
      </c>
      <c r="F98" t="str">
        <f>"Line "&amp;A91&amp;" + Line "&amp;A96&amp;""</f>
        <v>Line 411 + Line 414</v>
      </c>
      <c r="H98" s="8">
        <f t="shared" ref="H98" si="18">A98</f>
        <v>415</v>
      </c>
      <c r="L98" s="33"/>
    </row>
    <row r="99" spans="1:13">
      <c r="C99" s="12"/>
      <c r="D99" s="12"/>
      <c r="E99" s="22"/>
      <c r="H99" s="8"/>
      <c r="K99" s="32"/>
      <c r="M99" s="33"/>
    </row>
    <row r="100" spans="1:13">
      <c r="C100" s="11" t="s">
        <v>168</v>
      </c>
      <c r="D100" s="12"/>
      <c r="E100" s="22"/>
      <c r="H100" s="8"/>
      <c r="K100" s="32"/>
      <c r="M100" s="33"/>
    </row>
    <row r="101" spans="1:13">
      <c r="A101" s="8">
        <f>A98+1</f>
        <v>416</v>
      </c>
      <c r="C101" t="s">
        <v>197</v>
      </c>
      <c r="E101" s="51">
        <v>136134084</v>
      </c>
      <c r="F101" s="49" t="s">
        <v>1901</v>
      </c>
      <c r="H101" s="8">
        <f>A101</f>
        <v>416</v>
      </c>
      <c r="K101" s="32"/>
      <c r="L101" s="33"/>
      <c r="M101" s="33"/>
    </row>
    <row r="102" spans="1:13">
      <c r="E102" s="33"/>
      <c r="H102" s="8"/>
      <c r="K102" s="33"/>
      <c r="M102" s="33"/>
    </row>
    <row r="103" spans="1:13">
      <c r="A103" s="8">
        <f>A101+1</f>
        <v>417</v>
      </c>
      <c r="C103" s="12" t="s">
        <v>192</v>
      </c>
      <c r="E103" s="24">
        <f ca="1">E101+E98</f>
        <v>2665143238.7772632</v>
      </c>
      <c r="F103" t="str">
        <f>"Line "&amp;A98&amp;" + Line "&amp;A101&amp;""</f>
        <v>Line 415 + Line 416</v>
      </c>
      <c r="H103" s="8">
        <f>A103</f>
        <v>417</v>
      </c>
      <c r="K103" s="68"/>
      <c r="L103" s="33"/>
      <c r="M103" s="33"/>
    </row>
    <row r="104" spans="1:13">
      <c r="C104" s="12"/>
      <c r="D104" s="12"/>
      <c r="E104" s="22"/>
      <c r="H104" s="8"/>
      <c r="K104" s="32"/>
      <c r="M104" s="33"/>
    </row>
    <row r="105" spans="1:13">
      <c r="C105" s="11" t="s">
        <v>185</v>
      </c>
      <c r="D105" s="12"/>
      <c r="E105" s="22"/>
      <c r="H105" s="8"/>
      <c r="K105" s="32"/>
      <c r="M105" s="33"/>
    </row>
    <row r="106" spans="1:13">
      <c r="A106" s="8">
        <f>A103+1</f>
        <v>418</v>
      </c>
      <c r="C106" t="s">
        <v>160</v>
      </c>
      <c r="D106" s="12"/>
      <c r="E106" s="19">
        <f>'1-BaseTRR'!D155</f>
        <v>3.5142409364145128E-3</v>
      </c>
      <c r="F106" t="str">
        <f>CONCATENATE("1-BaseTRR, L. ",'1-BaseTRR'!A155)</f>
        <v>1-BaseTRR, L. 700</v>
      </c>
      <c r="H106" s="8">
        <f t="shared" ref="H106" si="19">A106</f>
        <v>418</v>
      </c>
      <c r="K106" s="28"/>
      <c r="L106" s="31"/>
      <c r="M106" s="33"/>
    </row>
    <row r="107" spans="1:13">
      <c r="A107" s="8">
        <f>A106+1</f>
        <v>419</v>
      </c>
      <c r="C107" t="s">
        <v>243</v>
      </c>
      <c r="E107" s="22">
        <f ca="1">E106*E103</f>
        <v>9365955.4711194169</v>
      </c>
      <c r="F107" s="17" t="str">
        <f>"Line "&amp;A103&amp;" * Line "&amp;A106&amp;""</f>
        <v>Line 417 * Line 418</v>
      </c>
      <c r="H107" s="8">
        <f t="shared" si="17"/>
        <v>419</v>
      </c>
      <c r="K107" s="22"/>
      <c r="L107" s="33"/>
      <c r="M107" s="33"/>
    </row>
    <row r="108" spans="1:13">
      <c r="A108" s="8">
        <f>A107+1</f>
        <v>420</v>
      </c>
      <c r="C108" t="s">
        <v>148</v>
      </c>
      <c r="E108" s="22">
        <f>+'23-RetailSGTax'!E38</f>
        <v>4615864.0460625142</v>
      </c>
      <c r="F108" t="s">
        <v>1423</v>
      </c>
      <c r="H108" s="8">
        <f t="shared" si="17"/>
        <v>420</v>
      </c>
      <c r="K108" s="22"/>
      <c r="L108" s="33"/>
      <c r="M108" s="33"/>
    </row>
    <row r="109" spans="1:13">
      <c r="H109" s="8"/>
      <c r="M109" s="33"/>
    </row>
    <row r="110" spans="1:13">
      <c r="A110" s="8">
        <f>A108+1</f>
        <v>421</v>
      </c>
      <c r="C110" s="12" t="s">
        <v>81</v>
      </c>
      <c r="D110" s="12"/>
      <c r="E110" s="24">
        <f ca="1">E103+E107+E108</f>
        <v>2679125058.294445</v>
      </c>
      <c r="F110" t="str">
        <f>"Line "&amp;A103&amp;" + Line "&amp;A107&amp;" + Line "&amp;A108&amp;""</f>
        <v>Line 417 + Line 419 + Line 420</v>
      </c>
      <c r="H110" s="8">
        <f t="shared" ref="H110" si="20">A110</f>
        <v>421</v>
      </c>
      <c r="K110" s="24"/>
      <c r="L110" s="33"/>
      <c r="M110" s="33"/>
    </row>
    <row r="111" spans="1:13">
      <c r="H111" s="8"/>
      <c r="J111" s="33"/>
    </row>
    <row r="112" spans="1:13">
      <c r="C112" s="16"/>
    </row>
    <row r="113" spans="5:5">
      <c r="E113" s="36"/>
    </row>
    <row r="115" spans="5:5">
      <c r="E115" s="38"/>
    </row>
  </sheetData>
  <mergeCells count="3">
    <mergeCell ref="C34:G34"/>
    <mergeCell ref="C75:G76"/>
    <mergeCell ref="C54:G54"/>
  </mergeCells>
  <printOptions horizontalCentered="1"/>
  <pageMargins left="1" right="1" top="1" bottom="1" header="0.5" footer="0.5"/>
  <pageSetup scale="65"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71" max="8"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S146"/>
  <sheetViews>
    <sheetView tabSelected="1" view="pageBreakPreview" topLeftCell="A88" zoomScale="55" zoomScaleNormal="86" zoomScaleSheetLayoutView="55" zoomScalePageLayoutView="70" workbookViewId="0">
      <selection activeCell="P108" sqref="P108"/>
    </sheetView>
  </sheetViews>
  <sheetFormatPr defaultColWidth="9.1796875" defaultRowHeight="14.5"/>
  <cols>
    <col min="1" max="1" width="4.7265625" bestFit="1" customWidth="1"/>
    <col min="2" max="2" width="17.54296875" customWidth="1"/>
    <col min="3" max="3" width="16.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9" customWidth="1"/>
    <col min="11" max="11" width="17.54296875" bestFit="1" customWidth="1"/>
    <col min="12" max="12" width="4.7265625" bestFit="1" customWidth="1"/>
  </cols>
  <sheetData>
    <row r="1" spans="1:12">
      <c r="B1" s="12" t="s">
        <v>168</v>
      </c>
      <c r="K1" s="15" t="str">
        <f>CONCATENATE("Rate Year: ",'1-BaseTRR'!$F$1)</f>
        <v>Rate Year: 2024</v>
      </c>
    </row>
    <row r="2" spans="1:12">
      <c r="B2" s="46" t="s">
        <v>196</v>
      </c>
      <c r="K2" s="15" t="str">
        <f>CONCATENATE("Prior Year: ",'1-BaseTRR'!$F$2)</f>
        <v>Prior Year: 2022</v>
      </c>
    </row>
    <row r="4" spans="1:12">
      <c r="B4" s="57" t="s">
        <v>213</v>
      </c>
      <c r="C4" s="54"/>
      <c r="D4" s="54"/>
      <c r="E4" s="54"/>
      <c r="F4" s="54"/>
      <c r="G4" s="54"/>
      <c r="H4" s="54"/>
      <c r="I4" s="54"/>
      <c r="J4" s="54"/>
      <c r="K4" s="54"/>
    </row>
    <row r="5" spans="1:12">
      <c r="B5" s="16" t="s">
        <v>135</v>
      </c>
    </row>
    <row r="6" spans="1:12">
      <c r="B6" s="812" t="s">
        <v>1442</v>
      </c>
      <c r="C6" s="812"/>
      <c r="D6" s="812"/>
      <c r="E6" s="812"/>
      <c r="F6" s="812"/>
      <c r="G6" s="812"/>
      <c r="H6" s="812"/>
      <c r="I6" s="812"/>
      <c r="J6" s="812"/>
      <c r="K6" s="812"/>
    </row>
    <row r="7" spans="1:12">
      <c r="B7" s="812" t="str">
        <f>"2) Input the Total Sales from the Prior Year FERC Form 1 on Line "&amp;A27&amp;".  The total on Line "&amp;A25&amp;", col 8, should match the total on Line "&amp;A27&amp;". "</f>
        <v xml:space="preserve">2) Input the Total Sales from the Prior Year FERC Form 1 on Line 113.  The total on Line 112, col 8, should match the total on Line 113. </v>
      </c>
      <c r="C7" s="812"/>
      <c r="D7" s="812"/>
      <c r="E7" s="812"/>
      <c r="F7" s="812"/>
      <c r="G7" s="812"/>
      <c r="H7" s="812"/>
      <c r="I7" s="812"/>
      <c r="J7" s="812"/>
      <c r="K7" s="812"/>
    </row>
    <row r="8" spans="1:12">
      <c r="B8" s="44"/>
      <c r="C8" s="44"/>
      <c r="D8" s="44"/>
      <c r="E8" s="44"/>
      <c r="F8" s="44"/>
      <c r="G8" s="44"/>
      <c r="H8" s="44"/>
      <c r="I8" s="44"/>
      <c r="J8" s="44"/>
      <c r="K8" s="44"/>
    </row>
    <row r="9" spans="1:12">
      <c r="B9" s="12"/>
      <c r="C9" s="13" t="s">
        <v>100</v>
      </c>
      <c r="D9" s="13" t="s">
        <v>101</v>
      </c>
      <c r="E9" s="13" t="s">
        <v>102</v>
      </c>
      <c r="F9" s="13" t="s">
        <v>103</v>
      </c>
      <c r="G9" s="13" t="s">
        <v>104</v>
      </c>
      <c r="H9" s="13" t="s">
        <v>105</v>
      </c>
      <c r="I9" s="13" t="s">
        <v>106</v>
      </c>
      <c r="J9" s="13" t="s">
        <v>107</v>
      </c>
    </row>
    <row r="10" spans="1:12">
      <c r="B10" s="12"/>
      <c r="C10" s="30" t="s">
        <v>125</v>
      </c>
      <c r="D10" s="30" t="s">
        <v>126</v>
      </c>
      <c r="E10" s="8"/>
      <c r="F10" s="8"/>
      <c r="G10" s="8"/>
      <c r="H10" s="8"/>
      <c r="I10" s="8"/>
      <c r="J10" s="30" t="s">
        <v>189</v>
      </c>
    </row>
    <row r="11" spans="1:12">
      <c r="B11" s="12"/>
      <c r="C11" s="8" t="s">
        <v>193</v>
      </c>
      <c r="D11" s="8" t="s">
        <v>85</v>
      </c>
      <c r="E11" s="8"/>
      <c r="F11" s="8"/>
      <c r="G11" s="8" t="s">
        <v>200</v>
      </c>
      <c r="H11" s="8" t="s">
        <v>201</v>
      </c>
      <c r="I11" s="8"/>
      <c r="J11" s="30"/>
    </row>
    <row r="12" spans="1:12">
      <c r="A12" s="13" t="s">
        <v>124</v>
      </c>
      <c r="B12" s="13" t="s">
        <v>82</v>
      </c>
      <c r="C12" s="13" t="s">
        <v>190</v>
      </c>
      <c r="D12" s="13" t="s">
        <v>190</v>
      </c>
      <c r="E12" s="13" t="s">
        <v>83</v>
      </c>
      <c r="F12" s="13" t="s">
        <v>84</v>
      </c>
      <c r="G12" s="13" t="s">
        <v>202</v>
      </c>
      <c r="H12" s="13" t="s">
        <v>203</v>
      </c>
      <c r="I12" s="13" t="s">
        <v>85</v>
      </c>
      <c r="J12" s="13" t="s">
        <v>165</v>
      </c>
      <c r="K12" s="13"/>
      <c r="L12" s="13" t="str">
        <f t="shared" ref="L12:L25" si="0">A12</f>
        <v>Line</v>
      </c>
    </row>
    <row r="13" spans="1:12">
      <c r="A13" s="8">
        <v>100</v>
      </c>
      <c r="B13" t="s">
        <v>86</v>
      </c>
      <c r="C13" s="51">
        <v>187677228</v>
      </c>
      <c r="D13" s="51">
        <v>-11698864.370000001</v>
      </c>
      <c r="E13" s="51">
        <v>367851855.82999998</v>
      </c>
      <c r="F13" s="51">
        <v>382825674.11000001</v>
      </c>
      <c r="G13" s="51">
        <v>92330982.330000013</v>
      </c>
      <c r="H13" s="51">
        <v>3178381.47</v>
      </c>
      <c r="I13" s="51">
        <v>43699991.700000003</v>
      </c>
      <c r="J13" s="22">
        <f t="shared" ref="J13:J24" si="1">SUM(C13:I13)</f>
        <v>1065865249.0700002</v>
      </c>
      <c r="K13" s="36"/>
      <c r="L13" s="8">
        <f t="shared" si="0"/>
        <v>100</v>
      </c>
    </row>
    <row r="14" spans="1:12">
      <c r="A14" s="8">
        <f>A13+1</f>
        <v>101</v>
      </c>
      <c r="B14" t="s">
        <v>87</v>
      </c>
      <c r="C14" s="51">
        <v>196603584</v>
      </c>
      <c r="D14" s="51">
        <v>-8728200</v>
      </c>
      <c r="E14" s="51">
        <v>348186233</v>
      </c>
      <c r="F14" s="51">
        <v>344368651</v>
      </c>
      <c r="G14" s="51">
        <v>97948186</v>
      </c>
      <c r="H14" s="51">
        <v>-313495</v>
      </c>
      <c r="I14" s="51">
        <v>43022446</v>
      </c>
      <c r="J14" s="22">
        <f t="shared" si="1"/>
        <v>1021087405</v>
      </c>
      <c r="K14" s="36"/>
      <c r="L14" s="8">
        <f t="shared" si="0"/>
        <v>101</v>
      </c>
    </row>
    <row r="15" spans="1:12">
      <c r="A15" s="8">
        <f t="shared" ref="A15:A25" si="2">A14+1</f>
        <v>102</v>
      </c>
      <c r="B15" t="s">
        <v>88</v>
      </c>
      <c r="C15" s="51">
        <v>230588030</v>
      </c>
      <c r="D15" s="51">
        <v>-1793866</v>
      </c>
      <c r="E15" s="51">
        <v>399232902</v>
      </c>
      <c r="F15" s="51">
        <v>385982840.00000006</v>
      </c>
      <c r="G15" s="51">
        <v>113530904</v>
      </c>
      <c r="H15" s="51">
        <v>-439162</v>
      </c>
      <c r="I15" s="51">
        <v>46827239</v>
      </c>
      <c r="J15" s="22">
        <f t="shared" si="1"/>
        <v>1173928887</v>
      </c>
      <c r="K15" s="36"/>
      <c r="L15" s="8">
        <f t="shared" si="0"/>
        <v>102</v>
      </c>
    </row>
    <row r="16" spans="1:12">
      <c r="A16" s="8">
        <f t="shared" si="2"/>
        <v>103</v>
      </c>
      <c r="B16" t="s">
        <v>89</v>
      </c>
      <c r="C16" s="51">
        <v>210003286</v>
      </c>
      <c r="D16" s="51">
        <v>8519714</v>
      </c>
      <c r="E16" s="51">
        <v>141294557</v>
      </c>
      <c r="F16" s="51">
        <v>315312412.99999994</v>
      </c>
      <c r="G16" s="51">
        <v>101021743</v>
      </c>
      <c r="H16" s="51">
        <v>-334763</v>
      </c>
      <c r="I16" s="51">
        <v>37612784</v>
      </c>
      <c r="J16" s="22">
        <f t="shared" si="1"/>
        <v>813429734</v>
      </c>
      <c r="K16" s="36"/>
      <c r="L16" s="8">
        <f t="shared" si="0"/>
        <v>103</v>
      </c>
    </row>
    <row r="17" spans="1:12">
      <c r="A17" s="8">
        <f t="shared" si="2"/>
        <v>104</v>
      </c>
      <c r="B17" t="s">
        <v>90</v>
      </c>
      <c r="C17" s="51">
        <v>220759806</v>
      </c>
      <c r="D17" s="51">
        <v>9463537</v>
      </c>
      <c r="E17" s="51">
        <v>376584324</v>
      </c>
      <c r="F17" s="51">
        <v>340268999.99999994</v>
      </c>
      <c r="G17" s="51">
        <v>105804463.99999999</v>
      </c>
      <c r="H17" s="51">
        <v>-478383</v>
      </c>
      <c r="I17" s="51">
        <v>39341285</v>
      </c>
      <c r="J17" s="22">
        <f t="shared" si="1"/>
        <v>1091744033</v>
      </c>
      <c r="K17" s="36"/>
      <c r="L17" s="8">
        <f t="shared" si="0"/>
        <v>104</v>
      </c>
    </row>
    <row r="18" spans="1:12">
      <c r="A18" s="8">
        <f t="shared" si="2"/>
        <v>105</v>
      </c>
      <c r="B18" t="s">
        <v>91</v>
      </c>
      <c r="C18" s="51">
        <v>254091681</v>
      </c>
      <c r="D18" s="51">
        <v>11338406</v>
      </c>
      <c r="E18" s="51">
        <v>502818143</v>
      </c>
      <c r="F18" s="51">
        <v>461168684</v>
      </c>
      <c r="G18" s="51">
        <v>123772277</v>
      </c>
      <c r="H18" s="51">
        <v>-666402</v>
      </c>
      <c r="I18" s="51">
        <v>44757351</v>
      </c>
      <c r="J18" s="22">
        <f t="shared" si="1"/>
        <v>1397280140</v>
      </c>
      <c r="K18" s="36"/>
      <c r="L18" s="8">
        <f t="shared" si="0"/>
        <v>105</v>
      </c>
    </row>
    <row r="19" spans="1:12">
      <c r="A19" s="8">
        <f t="shared" si="2"/>
        <v>106</v>
      </c>
      <c r="B19" t="s">
        <v>92</v>
      </c>
      <c r="C19" s="51">
        <v>268565476</v>
      </c>
      <c r="D19" s="51">
        <v>12103389</v>
      </c>
      <c r="E19" s="51">
        <v>618085706</v>
      </c>
      <c r="F19" s="51">
        <v>563832809</v>
      </c>
      <c r="G19" s="51">
        <v>138325765</v>
      </c>
      <c r="H19" s="51">
        <v>-590330</v>
      </c>
      <c r="I19" s="51">
        <v>48668339</v>
      </c>
      <c r="J19" s="22">
        <f t="shared" si="1"/>
        <v>1648991154</v>
      </c>
      <c r="K19" s="36"/>
      <c r="L19" s="8">
        <f t="shared" si="0"/>
        <v>106</v>
      </c>
    </row>
    <row r="20" spans="1:12">
      <c r="A20" s="8">
        <f t="shared" si="2"/>
        <v>107</v>
      </c>
      <c r="B20" t="s">
        <v>93</v>
      </c>
      <c r="C20" s="51">
        <v>294359137</v>
      </c>
      <c r="D20" s="51">
        <v>13495054</v>
      </c>
      <c r="E20" s="51">
        <v>684547851</v>
      </c>
      <c r="F20" s="51">
        <v>628589821.00000012</v>
      </c>
      <c r="G20" s="51">
        <v>146931256.42000002</v>
      </c>
      <c r="H20" s="51">
        <v>-860487</v>
      </c>
      <c r="I20" s="51">
        <v>51335458</v>
      </c>
      <c r="J20" s="22">
        <f t="shared" si="1"/>
        <v>1818398090.4200001</v>
      </c>
      <c r="K20" s="36"/>
      <c r="L20" s="8">
        <f t="shared" si="0"/>
        <v>107</v>
      </c>
    </row>
    <row r="21" spans="1:12">
      <c r="A21" s="8">
        <f t="shared" si="2"/>
        <v>108</v>
      </c>
      <c r="B21" t="s">
        <v>94</v>
      </c>
      <c r="C21" s="51">
        <v>282833234</v>
      </c>
      <c r="D21" s="51">
        <v>12913039</v>
      </c>
      <c r="E21" s="51">
        <v>638559945</v>
      </c>
      <c r="F21" s="51">
        <v>596192775.00000012</v>
      </c>
      <c r="G21" s="51">
        <v>141739936</v>
      </c>
      <c r="H21" s="51">
        <v>-848072</v>
      </c>
      <c r="I21" s="51">
        <v>49326426</v>
      </c>
      <c r="J21" s="22">
        <f t="shared" si="1"/>
        <v>1720717283</v>
      </c>
      <c r="K21" s="36"/>
      <c r="L21" s="8">
        <f t="shared" si="0"/>
        <v>108</v>
      </c>
    </row>
    <row r="22" spans="1:12">
      <c r="A22" s="8">
        <f t="shared" si="2"/>
        <v>109</v>
      </c>
      <c r="B22" t="s">
        <v>95</v>
      </c>
      <c r="C22" s="51">
        <v>240513369</v>
      </c>
      <c r="D22" s="51">
        <v>10987496</v>
      </c>
      <c r="E22" s="51">
        <v>283435155</v>
      </c>
      <c r="F22" s="51">
        <v>440678992</v>
      </c>
      <c r="G22" s="51">
        <v>120713648.59999999</v>
      </c>
      <c r="H22" s="51">
        <v>-763006</v>
      </c>
      <c r="I22" s="51">
        <v>42259525</v>
      </c>
      <c r="J22" s="22">
        <f t="shared" si="1"/>
        <v>1137825179.5999999</v>
      </c>
      <c r="K22" s="36"/>
      <c r="L22" s="8">
        <f t="shared" si="0"/>
        <v>109</v>
      </c>
    </row>
    <row r="23" spans="1:12">
      <c r="A23" s="8">
        <f t="shared" si="2"/>
        <v>110</v>
      </c>
      <c r="B23" t="s">
        <v>96</v>
      </c>
      <c r="C23" s="51">
        <v>210759065</v>
      </c>
      <c r="D23" s="51">
        <v>9675037.879999999</v>
      </c>
      <c r="E23" s="51">
        <v>376574941.08999997</v>
      </c>
      <c r="F23" s="51">
        <v>336190577.74999994</v>
      </c>
      <c r="G23" s="51">
        <v>106118606.96999998</v>
      </c>
      <c r="H23" s="51">
        <v>-704144.74</v>
      </c>
      <c r="I23" s="51">
        <v>36931604.719999999</v>
      </c>
      <c r="J23" s="22">
        <f t="shared" si="1"/>
        <v>1075545688.6700001</v>
      </c>
      <c r="K23" s="36"/>
      <c r="L23" s="8">
        <f t="shared" si="0"/>
        <v>110</v>
      </c>
    </row>
    <row r="24" spans="1:12">
      <c r="A24" s="8">
        <f t="shared" si="2"/>
        <v>111</v>
      </c>
      <c r="B24" t="s">
        <v>97</v>
      </c>
      <c r="C24" s="51">
        <v>234410586</v>
      </c>
      <c r="D24" s="51">
        <v>10760445</v>
      </c>
      <c r="E24" s="51">
        <v>414766651</v>
      </c>
      <c r="F24" s="51">
        <v>352308603</v>
      </c>
      <c r="G24" s="51">
        <v>117550359</v>
      </c>
      <c r="H24" s="51">
        <v>-803458</v>
      </c>
      <c r="I24" s="51">
        <f>40290514-918</f>
        <v>40289596</v>
      </c>
      <c r="J24" s="22">
        <f t="shared" si="1"/>
        <v>1169282782</v>
      </c>
      <c r="K24" s="36"/>
      <c r="L24" s="8">
        <f t="shared" si="0"/>
        <v>111</v>
      </c>
    </row>
    <row r="25" spans="1:12">
      <c r="A25" s="8">
        <f t="shared" si="2"/>
        <v>112</v>
      </c>
      <c r="B25" t="s">
        <v>98</v>
      </c>
      <c r="C25" s="24">
        <f>SUM(C13:C24)</f>
        <v>2831164482</v>
      </c>
      <c r="D25" s="24">
        <f t="shared" ref="D25:J25" si="3">SUM(D13:D24)</f>
        <v>77035187.50999999</v>
      </c>
      <c r="E25" s="24">
        <f t="shared" si="3"/>
        <v>5151938263.9200001</v>
      </c>
      <c r="F25" s="24">
        <f t="shared" si="3"/>
        <v>5147720839.8600006</v>
      </c>
      <c r="G25" s="24">
        <f t="shared" si="3"/>
        <v>1405788128.3199999</v>
      </c>
      <c r="H25" s="24">
        <f t="shared" si="3"/>
        <v>-3623321.2699999996</v>
      </c>
      <c r="I25" s="24">
        <f t="shared" si="3"/>
        <v>524072045.41999996</v>
      </c>
      <c r="J25" s="24">
        <f t="shared" si="3"/>
        <v>15134095625.76</v>
      </c>
      <c r="K25" s="36"/>
      <c r="L25" s="8">
        <f t="shared" si="0"/>
        <v>112</v>
      </c>
    </row>
    <row r="26" spans="1:12">
      <c r="A26" s="8"/>
      <c r="L26" s="8"/>
    </row>
    <row r="27" spans="1:12">
      <c r="A27" s="8">
        <f>A25+1</f>
        <v>113</v>
      </c>
      <c r="I27" s="130" t="s">
        <v>1971</v>
      </c>
      <c r="J27" s="51">
        <v>15134095626</v>
      </c>
      <c r="L27" s="8">
        <f>A27</f>
        <v>113</v>
      </c>
    </row>
    <row r="28" spans="1:12">
      <c r="L28" s="8"/>
    </row>
    <row r="29" spans="1:12">
      <c r="B29" s="57" t="s">
        <v>214</v>
      </c>
      <c r="C29" s="54"/>
      <c r="D29" s="54"/>
      <c r="E29" s="54"/>
      <c r="F29" s="54"/>
      <c r="G29" s="54"/>
      <c r="H29" s="54"/>
      <c r="I29" s="54"/>
      <c r="J29" s="54"/>
      <c r="K29" s="54"/>
    </row>
    <row r="30" spans="1:12">
      <c r="B30" s="16" t="s">
        <v>135</v>
      </c>
    </row>
    <row r="31" spans="1:12">
      <c r="B31" s="811" t="str">
        <f>"1) Input any corrections or adjustments from previous Annual Update Filings on Line "&amp;A44&amp;". Input the Corrected Principle in "&amp;G38&amp;" and the Accumulated Interest in "&amp;J38&amp;". A workpaper must accompany any correction or adjustment."</f>
        <v>1) Input any corrections or adjustments from previous Annual Update Filings on Line 201. Input the Corrected Principle in Col 5 and the Accumulated Interest in Col 8. A workpaper must accompany any correction or adjustment.</v>
      </c>
      <c r="C31" s="811"/>
      <c r="D31" s="811"/>
      <c r="E31" s="811"/>
      <c r="F31" s="811"/>
      <c r="G31" s="811"/>
      <c r="H31" s="811"/>
      <c r="I31" s="811"/>
      <c r="J31" s="811"/>
      <c r="K31" s="811"/>
    </row>
    <row r="32" spans="1:12">
      <c r="B32" s="811"/>
      <c r="C32" s="811"/>
      <c r="D32" s="811"/>
      <c r="E32" s="811"/>
      <c r="F32" s="811"/>
      <c r="G32" s="811"/>
      <c r="H32" s="811"/>
      <c r="I32" s="811"/>
      <c r="J32" s="811"/>
      <c r="K32" s="811"/>
    </row>
    <row r="33" spans="1:12">
      <c r="B33" s="812" t="s">
        <v>205</v>
      </c>
      <c r="C33" s="812"/>
      <c r="D33" s="812"/>
      <c r="E33" s="812"/>
      <c r="F33" s="812"/>
      <c r="G33" s="812"/>
      <c r="H33" s="812"/>
      <c r="I33" s="812"/>
      <c r="J33" s="812"/>
      <c r="K33" s="812"/>
    </row>
    <row r="34" spans="1:12">
      <c r="B34" s="12"/>
    </row>
    <row r="35" spans="1:12">
      <c r="A35" s="13" t="s">
        <v>124</v>
      </c>
      <c r="B35" s="13" t="s">
        <v>99</v>
      </c>
      <c r="C35" s="13" t="s">
        <v>166</v>
      </c>
      <c r="L35" s="13" t="str">
        <f>A35</f>
        <v>Line</v>
      </c>
    </row>
    <row r="36" spans="1:12">
      <c r="A36" s="8">
        <v>200</v>
      </c>
      <c r="B36" s="45">
        <f ca="1">'3-True-upTRR'!$E$110</f>
        <v>2679125058.294445</v>
      </c>
      <c r="C36" s="6" t="str">
        <f>"3-True-up TRR, L. "&amp;'3-True-upTRR'!$A$110&amp;""</f>
        <v>3-True-up TRR, L. 421</v>
      </c>
      <c r="L36" s="8">
        <f>A36</f>
        <v>200</v>
      </c>
    </row>
    <row r="37" spans="1:12">
      <c r="A37" s="8"/>
    </row>
    <row r="38" spans="1:12">
      <c r="A38" s="8"/>
      <c r="B38" s="8"/>
      <c r="C38" s="13" t="s">
        <v>100</v>
      </c>
      <c r="D38" s="13" t="s">
        <v>101</v>
      </c>
      <c r="E38" s="13" t="s">
        <v>102</v>
      </c>
      <c r="F38" s="13" t="s">
        <v>103</v>
      </c>
      <c r="G38" s="13" t="s">
        <v>104</v>
      </c>
      <c r="H38" s="13" t="s">
        <v>105</v>
      </c>
      <c r="I38" s="13" t="s">
        <v>106</v>
      </c>
      <c r="J38" s="13" t="s">
        <v>107</v>
      </c>
      <c r="K38" s="13" t="s">
        <v>108</v>
      </c>
    </row>
    <row r="39" spans="1:12">
      <c r="A39" s="8"/>
      <c r="B39" s="8"/>
      <c r="C39" s="8"/>
      <c r="D39" s="27" t="s">
        <v>169</v>
      </c>
      <c r="E39" s="30" t="s">
        <v>218</v>
      </c>
      <c r="F39" s="30" t="str">
        <f>""&amp;D38&amp;" - "&amp;E38&amp;""</f>
        <v>Col 2 - Col 3</v>
      </c>
      <c r="G39" s="30" t="s">
        <v>219</v>
      </c>
      <c r="H39" s="30" t="s">
        <v>171</v>
      </c>
      <c r="I39" s="30" t="s">
        <v>220</v>
      </c>
      <c r="J39" s="30" t="s">
        <v>221</v>
      </c>
      <c r="K39" s="30" t="str">
        <f>""&amp;G38&amp;" + "&amp;J38&amp;""</f>
        <v>Col 5 + Col 8</v>
      </c>
    </row>
    <row r="40" spans="1:12">
      <c r="A40" s="8"/>
      <c r="B40" s="8"/>
      <c r="C40" s="8"/>
      <c r="D40" s="8"/>
      <c r="E40" s="8"/>
      <c r="F40" s="8"/>
      <c r="G40" s="8" t="s">
        <v>234</v>
      </c>
      <c r="H40" s="8"/>
      <c r="I40" s="8"/>
      <c r="J40" s="8"/>
      <c r="K40" s="8" t="s">
        <v>234</v>
      </c>
    </row>
    <row r="41" spans="1:12">
      <c r="A41" s="8"/>
      <c r="B41" s="8"/>
      <c r="C41" s="8"/>
      <c r="D41" s="8" t="s">
        <v>193</v>
      </c>
      <c r="E41" s="8" t="s">
        <v>193</v>
      </c>
      <c r="F41" s="8" t="s">
        <v>193</v>
      </c>
      <c r="G41" s="8" t="s">
        <v>1381</v>
      </c>
      <c r="H41" s="8"/>
      <c r="I41" s="8"/>
      <c r="J41" s="8"/>
      <c r="K41" s="8" t="s">
        <v>1381</v>
      </c>
    </row>
    <row r="42" spans="1:12">
      <c r="A42" s="8"/>
      <c r="B42" s="8"/>
      <c r="C42" s="8"/>
      <c r="D42" s="8" t="s">
        <v>109</v>
      </c>
      <c r="E42" s="8" t="s">
        <v>190</v>
      </c>
      <c r="F42" s="8" t="s">
        <v>199</v>
      </c>
      <c r="G42" s="8" t="s">
        <v>1382</v>
      </c>
      <c r="H42" s="8" t="s">
        <v>109</v>
      </c>
      <c r="I42" s="8" t="s">
        <v>109</v>
      </c>
      <c r="J42" s="8" t="s">
        <v>228</v>
      </c>
      <c r="K42" s="8" t="s">
        <v>1382</v>
      </c>
    </row>
    <row r="43" spans="1:12">
      <c r="A43" s="8"/>
      <c r="B43" s="13" t="s">
        <v>82</v>
      </c>
      <c r="C43" s="13" t="s">
        <v>111</v>
      </c>
      <c r="D43" s="13" t="s">
        <v>195</v>
      </c>
      <c r="E43" s="13" t="s">
        <v>194</v>
      </c>
      <c r="F43" s="13" t="s">
        <v>235</v>
      </c>
      <c r="G43" s="13" t="s">
        <v>198</v>
      </c>
      <c r="H43" s="13" t="s">
        <v>167</v>
      </c>
      <c r="I43" s="13" t="s">
        <v>110</v>
      </c>
      <c r="J43" s="13" t="s">
        <v>110</v>
      </c>
      <c r="K43" s="13" t="s">
        <v>112</v>
      </c>
    </row>
    <row r="44" spans="1:12">
      <c r="A44" s="8">
        <f>A36+1</f>
        <v>201</v>
      </c>
      <c r="B44" t="s">
        <v>113</v>
      </c>
      <c r="C44" s="30">
        <f>C45-1</f>
        <v>2021</v>
      </c>
      <c r="D44" s="30" t="s">
        <v>163</v>
      </c>
      <c r="E44" s="30" t="s">
        <v>163</v>
      </c>
      <c r="F44" s="30" t="s">
        <v>163</v>
      </c>
      <c r="G44" s="51">
        <v>-1192893.77</v>
      </c>
      <c r="H44" s="30" t="s">
        <v>163</v>
      </c>
      <c r="I44" s="30" t="s">
        <v>163</v>
      </c>
      <c r="J44" s="51">
        <v>-99434.57</v>
      </c>
      <c r="K44" s="22">
        <f>ROUND((G44+J44),2)</f>
        <v>-1292328.3400000001</v>
      </c>
      <c r="L44" s="8">
        <f t="shared" ref="L44:L68" si="4">A44</f>
        <v>201</v>
      </c>
    </row>
    <row r="45" spans="1:12">
      <c r="A45" s="8">
        <f>A44+1</f>
        <v>202</v>
      </c>
      <c r="B45" t="s">
        <v>114</v>
      </c>
      <c r="C45" s="30">
        <f>'1-BaseTRR'!$F$2</f>
        <v>2022</v>
      </c>
      <c r="D45" s="22">
        <f ca="1">IF($D$102="No",$B$36*D108,IF(F108="No",0,IF(F108="Yes",D108*$B$36,0)))</f>
        <v>205183451.71160972</v>
      </c>
      <c r="E45" s="22">
        <f t="shared" ref="E45:E56" si="5">IF($D$102="No",C13,IF(F108="No",0,IF(F108="Yes",C13,0)))</f>
        <v>187677228</v>
      </c>
      <c r="F45" s="22">
        <f t="shared" ref="F45:F56" ca="1" si="6">D45-E45</f>
        <v>17506223.711609721</v>
      </c>
      <c r="G45" s="22">
        <f ca="1">F45+G44</f>
        <v>16313329.941609722</v>
      </c>
      <c r="H45" s="662">
        <v>2.7000000000000001E-3</v>
      </c>
      <c r="I45" s="22">
        <f ca="1">ROUND((F45/2+K44)*H45,2)</f>
        <v>20144.12</v>
      </c>
      <c r="J45" s="22">
        <f ca="1">I45+J44</f>
        <v>-79290.450000000012</v>
      </c>
      <c r="K45" s="22">
        <f t="shared" ref="K45:K68" ca="1" si="7">ROUND((G45+J45),2)</f>
        <v>16234039.49</v>
      </c>
      <c r="L45" s="8">
        <f t="shared" si="4"/>
        <v>202</v>
      </c>
    </row>
    <row r="46" spans="1:12">
      <c r="A46" s="8">
        <f t="shared" ref="A46:A68" si="8">A45+1</f>
        <v>203</v>
      </c>
      <c r="B46" t="s">
        <v>115</v>
      </c>
      <c r="C46" s="30">
        <f>'1-BaseTRR'!$F$2</f>
        <v>2022</v>
      </c>
      <c r="D46" s="22">
        <f t="shared" ref="D46:D56" ca="1" si="9">IF($D$102="No",$B$36*D109,IF(F109="No",0,IF(F109="Yes",D109*$B$36,0)))</f>
        <v>187297527.38867998</v>
      </c>
      <c r="E46" s="22">
        <f t="shared" si="5"/>
        <v>196603584</v>
      </c>
      <c r="F46" s="22">
        <f t="shared" ca="1" si="6"/>
        <v>-9306056.6113200188</v>
      </c>
      <c r="G46" s="22">
        <f t="shared" ref="G46:G68" ca="1" si="10">F46+G45</f>
        <v>7007273.3302897029</v>
      </c>
      <c r="H46" s="662">
        <v>2.7000000000000001E-3</v>
      </c>
      <c r="I46" s="22">
        <f t="shared" ref="I46:I68" ca="1" si="11">ROUND((F46/2+K45)*H46,2)</f>
        <v>31268.73</v>
      </c>
      <c r="J46" s="22">
        <f ca="1">I46+J45</f>
        <v>-48021.720000000016</v>
      </c>
      <c r="K46" s="22">
        <f t="shared" ca="1" si="7"/>
        <v>6959251.6100000003</v>
      </c>
      <c r="L46" s="8">
        <f t="shared" si="4"/>
        <v>203</v>
      </c>
    </row>
    <row r="47" spans="1:12">
      <c r="A47" s="8">
        <f t="shared" si="8"/>
        <v>204</v>
      </c>
      <c r="B47" t="s">
        <v>116</v>
      </c>
      <c r="C47" s="30">
        <f>'1-BaseTRR'!$F$2</f>
        <v>2022</v>
      </c>
      <c r="D47" s="22">
        <f t="shared" ca="1" si="9"/>
        <v>201113473.05814686</v>
      </c>
      <c r="E47" s="22">
        <f t="shared" si="5"/>
        <v>230588030</v>
      </c>
      <c r="F47" s="22">
        <f t="shared" ca="1" si="6"/>
        <v>-29474556.941853136</v>
      </c>
      <c r="G47" s="22">
        <f t="shared" ca="1" si="10"/>
        <v>-22467283.611563433</v>
      </c>
      <c r="H47" s="662">
        <v>2.7000000000000001E-3</v>
      </c>
      <c r="I47" s="22">
        <f t="shared" ca="1" si="11"/>
        <v>-21000.67</v>
      </c>
      <c r="J47" s="22">
        <f ca="1">I47+J46</f>
        <v>-69022.390000000014</v>
      </c>
      <c r="K47" s="22">
        <f t="shared" ca="1" si="7"/>
        <v>-22536306</v>
      </c>
      <c r="L47" s="8">
        <f t="shared" si="4"/>
        <v>204</v>
      </c>
    </row>
    <row r="48" spans="1:12">
      <c r="A48" s="8">
        <f t="shared" si="8"/>
        <v>205</v>
      </c>
      <c r="B48" t="s">
        <v>117</v>
      </c>
      <c r="C48" s="30">
        <f>'1-BaseTRR'!$F$2</f>
        <v>2022</v>
      </c>
      <c r="D48" s="22">
        <f t="shared" ca="1" si="9"/>
        <v>196101974.41577813</v>
      </c>
      <c r="E48" s="22">
        <f t="shared" si="5"/>
        <v>210003286</v>
      </c>
      <c r="F48" s="22">
        <f t="shared" ca="1" si="6"/>
        <v>-13901311.58422187</v>
      </c>
      <c r="G48" s="22">
        <f t="shared" ca="1" si="10"/>
        <v>-36368595.195785299</v>
      </c>
      <c r="H48" s="662">
        <v>2.7000000000000001E-3</v>
      </c>
      <c r="I48" s="22">
        <f t="shared" ca="1" si="11"/>
        <v>-79614.8</v>
      </c>
      <c r="J48" s="22">
        <f t="shared" ref="J48:J68" ca="1" si="12">I48+J47</f>
        <v>-148637.19</v>
      </c>
      <c r="K48" s="22">
        <f t="shared" ca="1" si="7"/>
        <v>-36517232.390000001</v>
      </c>
      <c r="L48" s="8">
        <f t="shared" si="4"/>
        <v>205</v>
      </c>
    </row>
    <row r="49" spans="1:12">
      <c r="A49" s="8">
        <f t="shared" si="8"/>
        <v>206</v>
      </c>
      <c r="B49" t="s">
        <v>90</v>
      </c>
      <c r="C49" s="30">
        <f>'1-BaseTRR'!$F$2</f>
        <v>2022</v>
      </c>
      <c r="D49" s="22">
        <f t="shared" ca="1" si="9"/>
        <v>221243332.17252871</v>
      </c>
      <c r="E49" s="22">
        <f t="shared" si="5"/>
        <v>220759806</v>
      </c>
      <c r="F49" s="22">
        <f t="shared" ca="1" si="6"/>
        <v>483526.17252871394</v>
      </c>
      <c r="G49" s="22">
        <f t="shared" ca="1" si="10"/>
        <v>-35885069.023256585</v>
      </c>
      <c r="H49" s="662">
        <v>2.7000000000000001E-3</v>
      </c>
      <c r="I49" s="22">
        <f t="shared" ca="1" si="11"/>
        <v>-97943.77</v>
      </c>
      <c r="J49" s="22">
        <f t="shared" ca="1" si="12"/>
        <v>-246580.96000000002</v>
      </c>
      <c r="K49" s="22">
        <f t="shared" ca="1" si="7"/>
        <v>-36131649.979999997</v>
      </c>
      <c r="L49" s="8">
        <f t="shared" si="4"/>
        <v>206</v>
      </c>
    </row>
    <row r="50" spans="1:12">
      <c r="A50" s="8">
        <f t="shared" si="8"/>
        <v>207</v>
      </c>
      <c r="B50" t="s">
        <v>118</v>
      </c>
      <c r="C50" s="30">
        <f>'1-BaseTRR'!$F$2</f>
        <v>2022</v>
      </c>
      <c r="D50" s="22">
        <f t="shared" ca="1" si="9"/>
        <v>249149067.02425566</v>
      </c>
      <c r="E50" s="22">
        <f t="shared" si="5"/>
        <v>254091681</v>
      </c>
      <c r="F50" s="22">
        <f t="shared" ca="1" si="6"/>
        <v>-4942613.9757443368</v>
      </c>
      <c r="G50" s="22">
        <f t="shared" ca="1" si="10"/>
        <v>-40827682.999000922</v>
      </c>
      <c r="H50" s="662">
        <v>2.7000000000000001E-3</v>
      </c>
      <c r="I50" s="22">
        <f t="shared" ca="1" si="11"/>
        <v>-104227.98</v>
      </c>
      <c r="J50" s="22">
        <f t="shared" ca="1" si="12"/>
        <v>-350808.94</v>
      </c>
      <c r="K50" s="22">
        <f t="shared" ca="1" si="7"/>
        <v>-41178491.939999998</v>
      </c>
      <c r="L50" s="8">
        <f t="shared" si="4"/>
        <v>207</v>
      </c>
    </row>
    <row r="51" spans="1:12">
      <c r="A51" s="8">
        <f t="shared" si="8"/>
        <v>208</v>
      </c>
      <c r="B51" t="s">
        <v>119</v>
      </c>
      <c r="C51" s="30">
        <f>'1-BaseTRR'!$F$2</f>
        <v>2022</v>
      </c>
      <c r="D51" s="22">
        <f t="shared" ca="1" si="9"/>
        <v>266015344.46014059</v>
      </c>
      <c r="E51" s="22">
        <f t="shared" si="5"/>
        <v>268565476</v>
      </c>
      <c r="F51" s="22">
        <f t="shared" ca="1" si="6"/>
        <v>-2550131.5398594141</v>
      </c>
      <c r="G51" s="22">
        <f t="shared" ca="1" si="10"/>
        <v>-43377814.538860336</v>
      </c>
      <c r="H51" s="662">
        <v>2.9999999999999996E-3</v>
      </c>
      <c r="I51" s="22">
        <f t="shared" ca="1" si="11"/>
        <v>-127360.67</v>
      </c>
      <c r="J51" s="22">
        <f t="shared" ca="1" si="12"/>
        <v>-478169.61</v>
      </c>
      <c r="K51" s="22">
        <f t="shared" ca="1" si="7"/>
        <v>-43855984.149999999</v>
      </c>
      <c r="L51" s="8">
        <f t="shared" si="4"/>
        <v>208</v>
      </c>
    </row>
    <row r="52" spans="1:12">
      <c r="A52" s="8">
        <f t="shared" si="8"/>
        <v>209</v>
      </c>
      <c r="B52" t="s">
        <v>120</v>
      </c>
      <c r="C52" s="30">
        <f>'1-BaseTRR'!$F$2</f>
        <v>2022</v>
      </c>
      <c r="D52" s="22">
        <f t="shared" ca="1" si="9"/>
        <v>275451102.75122678</v>
      </c>
      <c r="E52" s="22">
        <f t="shared" si="5"/>
        <v>294359137</v>
      </c>
      <c r="F52" s="22">
        <f t="shared" ca="1" si="6"/>
        <v>-18908034.248773217</v>
      </c>
      <c r="G52" s="22">
        <f t="shared" ca="1" si="10"/>
        <v>-62285848.787633553</v>
      </c>
      <c r="H52" s="662">
        <v>2.9999999999999996E-3</v>
      </c>
      <c r="I52" s="22">
        <f t="shared" ca="1" si="11"/>
        <v>-159930</v>
      </c>
      <c r="J52" s="22">
        <f t="shared" ca="1" si="12"/>
        <v>-638099.61</v>
      </c>
      <c r="K52" s="22">
        <f t="shared" ca="1" si="7"/>
        <v>-62923948.399999999</v>
      </c>
      <c r="L52" s="8">
        <f t="shared" si="4"/>
        <v>209</v>
      </c>
    </row>
    <row r="53" spans="1:12">
      <c r="A53" s="8">
        <f t="shared" si="8"/>
        <v>210</v>
      </c>
      <c r="B53" t="s">
        <v>121</v>
      </c>
      <c r="C53" s="30">
        <f>'1-BaseTRR'!$F$2</f>
        <v>2022</v>
      </c>
      <c r="D53" s="22">
        <f t="shared" ca="1" si="9"/>
        <v>249987415.23906937</v>
      </c>
      <c r="E53" s="22">
        <f t="shared" si="5"/>
        <v>282833234</v>
      </c>
      <c r="F53" s="22">
        <f t="shared" ca="1" si="6"/>
        <v>-32845818.760930628</v>
      </c>
      <c r="G53" s="22">
        <f t="shared" ca="1" si="10"/>
        <v>-95131667.548564181</v>
      </c>
      <c r="H53" s="662">
        <v>2.9999999999999996E-3</v>
      </c>
      <c r="I53" s="22">
        <f t="shared" ca="1" si="11"/>
        <v>-238040.57</v>
      </c>
      <c r="J53" s="22">
        <f t="shared" ca="1" si="12"/>
        <v>-876140.17999999993</v>
      </c>
      <c r="K53" s="22">
        <f t="shared" ca="1" si="7"/>
        <v>-96007807.730000004</v>
      </c>
      <c r="L53" s="8">
        <f t="shared" si="4"/>
        <v>210</v>
      </c>
    </row>
    <row r="54" spans="1:12">
      <c r="A54" s="8">
        <f t="shared" si="8"/>
        <v>211</v>
      </c>
      <c r="B54" t="s">
        <v>122</v>
      </c>
      <c r="C54" s="30">
        <f>'1-BaseTRR'!$F$2</f>
        <v>2022</v>
      </c>
      <c r="D54" s="22">
        <f t="shared" ca="1" si="9"/>
        <v>214721927.55169517</v>
      </c>
      <c r="E54" s="22">
        <f t="shared" si="5"/>
        <v>240513369</v>
      </c>
      <c r="F54" s="22">
        <f t="shared" ca="1" si="6"/>
        <v>-25791441.448304832</v>
      </c>
      <c r="G54" s="22">
        <f t="shared" ca="1" si="10"/>
        <v>-120923108.99686901</v>
      </c>
      <c r="H54" s="662">
        <v>4.1000000000000003E-3</v>
      </c>
      <c r="I54" s="22">
        <f t="shared" ca="1" si="11"/>
        <v>-446504.47</v>
      </c>
      <c r="J54" s="22">
        <f t="shared" ca="1" si="12"/>
        <v>-1322644.6499999999</v>
      </c>
      <c r="K54" s="22">
        <f t="shared" ca="1" si="7"/>
        <v>-122245753.65000001</v>
      </c>
      <c r="L54" s="8">
        <f t="shared" si="4"/>
        <v>211</v>
      </c>
    </row>
    <row r="55" spans="1:12">
      <c r="A55" s="8">
        <f t="shared" si="8"/>
        <v>212</v>
      </c>
      <c r="B55" t="s">
        <v>123</v>
      </c>
      <c r="C55" s="30">
        <f>'1-BaseTRR'!$F$2</f>
        <v>2022</v>
      </c>
      <c r="D55" s="22">
        <f t="shared" ca="1" si="9"/>
        <v>198013217.81412473</v>
      </c>
      <c r="E55" s="22">
        <f t="shared" si="5"/>
        <v>210759065</v>
      </c>
      <c r="F55" s="22">
        <f t="shared" ca="1" si="6"/>
        <v>-12745847.185875267</v>
      </c>
      <c r="G55" s="22">
        <f t="shared" ca="1" si="10"/>
        <v>-133668956.18274428</v>
      </c>
      <c r="H55" s="662">
        <v>4.1000000000000003E-3</v>
      </c>
      <c r="I55" s="22">
        <f t="shared" ca="1" si="11"/>
        <v>-527336.57999999996</v>
      </c>
      <c r="J55" s="22">
        <f t="shared" ca="1" si="12"/>
        <v>-1849981.23</v>
      </c>
      <c r="K55" s="22">
        <f t="shared" ca="1" si="7"/>
        <v>-135518937.41</v>
      </c>
      <c r="L55" s="8">
        <f t="shared" si="4"/>
        <v>212</v>
      </c>
    </row>
    <row r="56" spans="1:12">
      <c r="A56" s="8">
        <f t="shared" si="8"/>
        <v>213</v>
      </c>
      <c r="B56" t="s">
        <v>113</v>
      </c>
      <c r="C56" s="30">
        <f>'1-BaseTRR'!$F$2</f>
        <v>2022</v>
      </c>
      <c r="D56" s="22">
        <f t="shared" ca="1" si="9"/>
        <v>214847224.70718887</v>
      </c>
      <c r="E56" s="22">
        <f t="shared" si="5"/>
        <v>234410586</v>
      </c>
      <c r="F56" s="22">
        <f t="shared" ca="1" si="6"/>
        <v>-19563361.292811126</v>
      </c>
      <c r="G56" s="22">
        <f t="shared" ca="1" si="10"/>
        <v>-153232317.47555542</v>
      </c>
      <c r="H56" s="662">
        <v>4.1000000000000003E-3</v>
      </c>
      <c r="I56" s="22">
        <f t="shared" ca="1" si="11"/>
        <v>-595732.53</v>
      </c>
      <c r="J56" s="22">
        <f t="shared" ca="1" si="12"/>
        <v>-2445713.7599999998</v>
      </c>
      <c r="K56" s="22">
        <f t="shared" ca="1" si="7"/>
        <v>-155678031.24000001</v>
      </c>
      <c r="L56" s="8">
        <f t="shared" si="4"/>
        <v>213</v>
      </c>
    </row>
    <row r="57" spans="1:12">
      <c r="A57" s="8">
        <f t="shared" si="8"/>
        <v>214</v>
      </c>
      <c r="B57" t="s">
        <v>114</v>
      </c>
      <c r="C57" s="30">
        <f>C56+1</f>
        <v>2023</v>
      </c>
      <c r="D57" s="30" t="s">
        <v>163</v>
      </c>
      <c r="E57" s="30" t="s">
        <v>163</v>
      </c>
      <c r="F57" s="20">
        <v>0</v>
      </c>
      <c r="G57" s="22">
        <f ca="1">F57+G56</f>
        <v>-153232317.47555542</v>
      </c>
      <c r="H57" s="663">
        <v>5.3E-3</v>
      </c>
      <c r="I57" s="22">
        <f t="shared" ca="1" si="11"/>
        <v>-825093.57</v>
      </c>
      <c r="J57" s="22">
        <f t="shared" ca="1" si="12"/>
        <v>-3270807.3299999996</v>
      </c>
      <c r="K57" s="22">
        <f t="shared" ca="1" si="7"/>
        <v>-156503124.81</v>
      </c>
      <c r="L57" s="8">
        <f t="shared" si="4"/>
        <v>214</v>
      </c>
    </row>
    <row r="58" spans="1:12">
      <c r="A58" s="8">
        <f t="shared" si="8"/>
        <v>215</v>
      </c>
      <c r="B58" t="s">
        <v>115</v>
      </c>
      <c r="C58" s="30">
        <f>$C$57</f>
        <v>2023</v>
      </c>
      <c r="D58" s="30" t="s">
        <v>163</v>
      </c>
      <c r="E58" s="30" t="s">
        <v>163</v>
      </c>
      <c r="F58" s="20">
        <v>0</v>
      </c>
      <c r="G58" s="22">
        <f t="shared" ca="1" si="10"/>
        <v>-153232317.47555542</v>
      </c>
      <c r="H58" s="663">
        <v>5.3E-3</v>
      </c>
      <c r="I58" s="22">
        <f t="shared" ca="1" si="11"/>
        <v>-829466.56</v>
      </c>
      <c r="J58" s="22">
        <f t="shared" ca="1" si="12"/>
        <v>-4100273.8899999997</v>
      </c>
      <c r="K58" s="22">
        <f t="shared" ca="1" si="7"/>
        <v>-157332591.37</v>
      </c>
      <c r="L58" s="8">
        <f t="shared" si="4"/>
        <v>215</v>
      </c>
    </row>
    <row r="59" spans="1:12">
      <c r="A59" s="8">
        <f t="shared" si="8"/>
        <v>216</v>
      </c>
      <c r="B59" t="s">
        <v>116</v>
      </c>
      <c r="C59" s="30">
        <f t="shared" ref="C59:C68" si="13">$C$57</f>
        <v>2023</v>
      </c>
      <c r="D59" s="30" t="s">
        <v>163</v>
      </c>
      <c r="E59" s="30" t="s">
        <v>163</v>
      </c>
      <c r="F59" s="20">
        <v>0</v>
      </c>
      <c r="G59" s="22">
        <f t="shared" ca="1" si="10"/>
        <v>-153232317.47555542</v>
      </c>
      <c r="H59" s="663">
        <v>5.3E-3</v>
      </c>
      <c r="I59" s="22">
        <f t="shared" ca="1" si="11"/>
        <v>-833862.73</v>
      </c>
      <c r="J59" s="22">
        <f t="shared" ca="1" si="12"/>
        <v>-4934136.6199999992</v>
      </c>
      <c r="K59" s="22">
        <f t="shared" ca="1" si="7"/>
        <v>-158166454.09999999</v>
      </c>
      <c r="L59" s="8">
        <f t="shared" si="4"/>
        <v>216</v>
      </c>
    </row>
    <row r="60" spans="1:12">
      <c r="A60" s="8">
        <f t="shared" si="8"/>
        <v>217</v>
      </c>
      <c r="B60" t="s">
        <v>117</v>
      </c>
      <c r="C60" s="30">
        <f t="shared" si="13"/>
        <v>2023</v>
      </c>
      <c r="D60" s="30" t="s">
        <v>163</v>
      </c>
      <c r="E60" s="30" t="s">
        <v>163</v>
      </c>
      <c r="F60" s="20">
        <v>0</v>
      </c>
      <c r="G60" s="22">
        <f t="shared" ca="1" si="10"/>
        <v>-153232317.47555542</v>
      </c>
      <c r="H60" s="663">
        <v>6.3E-3</v>
      </c>
      <c r="I60" s="22">
        <f t="shared" ca="1" si="11"/>
        <v>-996448.66</v>
      </c>
      <c r="J60" s="22">
        <f t="shared" ca="1" si="12"/>
        <v>-5930585.2799999993</v>
      </c>
      <c r="K60" s="22">
        <f t="shared" ca="1" si="7"/>
        <v>-159162902.75999999</v>
      </c>
      <c r="L60" s="8">
        <f t="shared" si="4"/>
        <v>217</v>
      </c>
    </row>
    <row r="61" spans="1:12">
      <c r="A61" s="8">
        <f t="shared" si="8"/>
        <v>218</v>
      </c>
      <c r="B61" t="s">
        <v>90</v>
      </c>
      <c r="C61" s="30">
        <f t="shared" si="13"/>
        <v>2023</v>
      </c>
      <c r="D61" s="30" t="s">
        <v>163</v>
      </c>
      <c r="E61" s="30" t="s">
        <v>163</v>
      </c>
      <c r="F61" s="20">
        <v>0</v>
      </c>
      <c r="G61" s="22">
        <f t="shared" ca="1" si="10"/>
        <v>-153232317.47555542</v>
      </c>
      <c r="H61" s="663">
        <v>6.3E-3</v>
      </c>
      <c r="I61" s="22">
        <f t="shared" ca="1" si="11"/>
        <v>-1002726.29</v>
      </c>
      <c r="J61" s="22">
        <f t="shared" ca="1" si="12"/>
        <v>-6933311.5699999994</v>
      </c>
      <c r="K61" s="22">
        <f t="shared" ca="1" si="7"/>
        <v>-160165629.05000001</v>
      </c>
      <c r="L61" s="8">
        <f t="shared" si="4"/>
        <v>218</v>
      </c>
    </row>
    <row r="62" spans="1:12">
      <c r="A62" s="8">
        <f t="shared" si="8"/>
        <v>219</v>
      </c>
      <c r="B62" t="s">
        <v>118</v>
      </c>
      <c r="C62" s="30">
        <f t="shared" si="13"/>
        <v>2023</v>
      </c>
      <c r="D62" s="30" t="s">
        <v>163</v>
      </c>
      <c r="E62" s="30" t="s">
        <v>163</v>
      </c>
      <c r="F62" s="20">
        <v>0</v>
      </c>
      <c r="G62" s="22">
        <f t="shared" ca="1" si="10"/>
        <v>-153232317.47555542</v>
      </c>
      <c r="H62" s="663">
        <v>6.3E-3</v>
      </c>
      <c r="I62" s="22">
        <f t="shared" ca="1" si="11"/>
        <v>-1009043.46</v>
      </c>
      <c r="J62" s="22">
        <f t="shared" ca="1" si="12"/>
        <v>-7942355.0299999993</v>
      </c>
      <c r="K62" s="22">
        <f t="shared" ca="1" si="7"/>
        <v>-161174672.50999999</v>
      </c>
      <c r="L62" s="8">
        <f t="shared" si="4"/>
        <v>219</v>
      </c>
    </row>
    <row r="63" spans="1:12">
      <c r="A63" s="8">
        <f t="shared" si="8"/>
        <v>220</v>
      </c>
      <c r="B63" t="s">
        <v>119</v>
      </c>
      <c r="C63" s="30">
        <f t="shared" si="13"/>
        <v>2023</v>
      </c>
      <c r="D63" s="30" t="s">
        <v>163</v>
      </c>
      <c r="E63" s="30" t="s">
        <v>163</v>
      </c>
      <c r="F63" s="20">
        <v>0</v>
      </c>
      <c r="G63" s="22">
        <f t="shared" ca="1" si="10"/>
        <v>-153232317.47555542</v>
      </c>
      <c r="H63" s="663">
        <v>6.7000000000000002E-3</v>
      </c>
      <c r="I63" s="22">
        <f t="shared" ca="1" si="11"/>
        <v>-1079870.31</v>
      </c>
      <c r="J63" s="22">
        <f t="shared" ca="1" si="12"/>
        <v>-9022225.3399999999</v>
      </c>
      <c r="K63" s="22">
        <f t="shared" ca="1" si="7"/>
        <v>-162254542.81999999</v>
      </c>
      <c r="L63" s="8">
        <f t="shared" si="4"/>
        <v>220</v>
      </c>
    </row>
    <row r="64" spans="1:12">
      <c r="A64" s="8">
        <f t="shared" si="8"/>
        <v>221</v>
      </c>
      <c r="B64" t="s">
        <v>120</v>
      </c>
      <c r="C64" s="30">
        <f t="shared" si="13"/>
        <v>2023</v>
      </c>
      <c r="D64" s="30" t="s">
        <v>163</v>
      </c>
      <c r="E64" s="30" t="s">
        <v>163</v>
      </c>
      <c r="F64" s="20">
        <v>0</v>
      </c>
      <c r="G64" s="22">
        <f t="shared" ca="1" si="10"/>
        <v>-153232317.47555542</v>
      </c>
      <c r="H64" s="663">
        <v>6.7000000000000002E-3</v>
      </c>
      <c r="I64" s="22">
        <f t="shared" ca="1" si="11"/>
        <v>-1087105.44</v>
      </c>
      <c r="J64" s="22">
        <f t="shared" ca="1" si="12"/>
        <v>-10109330.779999999</v>
      </c>
      <c r="K64" s="22">
        <f t="shared" ca="1" si="7"/>
        <v>-163341648.25999999</v>
      </c>
      <c r="L64" s="8">
        <f t="shared" si="4"/>
        <v>221</v>
      </c>
    </row>
    <row r="65" spans="1:12">
      <c r="A65" s="8">
        <f t="shared" si="8"/>
        <v>222</v>
      </c>
      <c r="B65" t="s">
        <v>121</v>
      </c>
      <c r="C65" s="30">
        <f t="shared" si="13"/>
        <v>2023</v>
      </c>
      <c r="D65" s="30" t="s">
        <v>163</v>
      </c>
      <c r="E65" s="30" t="s">
        <v>163</v>
      </c>
      <c r="F65" s="20">
        <v>0</v>
      </c>
      <c r="G65" s="22">
        <f t="shared" ca="1" si="10"/>
        <v>-153232317.47555542</v>
      </c>
      <c r="H65" s="663">
        <v>6.7000000000000002E-3</v>
      </c>
      <c r="I65" s="22">
        <f t="shared" ca="1" si="11"/>
        <v>-1094389.04</v>
      </c>
      <c r="J65" s="22">
        <f t="shared" ca="1" si="12"/>
        <v>-11203719.82</v>
      </c>
      <c r="K65" s="22">
        <f t="shared" ca="1" si="7"/>
        <v>-164436037.30000001</v>
      </c>
      <c r="L65" s="8">
        <f t="shared" si="4"/>
        <v>222</v>
      </c>
    </row>
    <row r="66" spans="1:12">
      <c r="A66" s="8">
        <f t="shared" si="8"/>
        <v>223</v>
      </c>
      <c r="B66" t="s">
        <v>122</v>
      </c>
      <c r="C66" s="30">
        <f t="shared" si="13"/>
        <v>2023</v>
      </c>
      <c r="D66" s="30" t="s">
        <v>163</v>
      </c>
      <c r="E66" s="30" t="s">
        <v>163</v>
      </c>
      <c r="F66" s="20">
        <v>0</v>
      </c>
      <c r="G66" s="22">
        <f t="shared" ca="1" si="10"/>
        <v>-153232317.47555542</v>
      </c>
      <c r="H66" s="663">
        <v>7.0000000000000001E-3</v>
      </c>
      <c r="I66" s="22">
        <f t="shared" ca="1" si="11"/>
        <v>-1151052.26</v>
      </c>
      <c r="J66" s="22">
        <f t="shared" ca="1" si="12"/>
        <v>-12354772.08</v>
      </c>
      <c r="K66" s="22">
        <f t="shared" ca="1" si="7"/>
        <v>-165587089.56</v>
      </c>
      <c r="L66" s="8">
        <f t="shared" si="4"/>
        <v>223</v>
      </c>
    </row>
    <row r="67" spans="1:12">
      <c r="A67" s="8">
        <f t="shared" si="8"/>
        <v>224</v>
      </c>
      <c r="B67" t="s">
        <v>123</v>
      </c>
      <c r="C67" s="30">
        <f t="shared" si="13"/>
        <v>2023</v>
      </c>
      <c r="D67" s="30" t="s">
        <v>163</v>
      </c>
      <c r="E67" s="30" t="s">
        <v>163</v>
      </c>
      <c r="F67" s="20">
        <v>0</v>
      </c>
      <c r="G67" s="22">
        <f t="shared" ca="1" si="10"/>
        <v>-153232317.47555542</v>
      </c>
      <c r="H67" s="663">
        <v>7.0000000000000001E-3</v>
      </c>
      <c r="I67" s="22">
        <f t="shared" ca="1" si="11"/>
        <v>-1159109.6299999999</v>
      </c>
      <c r="J67" s="22">
        <f t="shared" ca="1" si="12"/>
        <v>-13513881.710000001</v>
      </c>
      <c r="K67" s="22">
        <f t="shared" ca="1" si="7"/>
        <v>-166746199.19</v>
      </c>
      <c r="L67" s="8">
        <f t="shared" si="4"/>
        <v>224</v>
      </c>
    </row>
    <row r="68" spans="1:12">
      <c r="A68" s="8">
        <f t="shared" si="8"/>
        <v>225</v>
      </c>
      <c r="B68" t="s">
        <v>113</v>
      </c>
      <c r="C68" s="30">
        <f t="shared" si="13"/>
        <v>2023</v>
      </c>
      <c r="D68" s="30" t="s">
        <v>163</v>
      </c>
      <c r="E68" s="30" t="s">
        <v>163</v>
      </c>
      <c r="F68" s="20">
        <v>0</v>
      </c>
      <c r="G68" s="22">
        <f t="shared" ca="1" si="10"/>
        <v>-153232317.47555542</v>
      </c>
      <c r="H68" s="663">
        <v>7.0000000000000001E-3</v>
      </c>
      <c r="I68" s="22">
        <f t="shared" ca="1" si="11"/>
        <v>-1167223.3899999999</v>
      </c>
      <c r="J68" s="22">
        <f t="shared" ca="1" si="12"/>
        <v>-14681105.100000001</v>
      </c>
      <c r="K68" s="22">
        <f t="shared" ca="1" si="7"/>
        <v>-167913422.58000001</v>
      </c>
      <c r="L68" s="8">
        <f t="shared" si="4"/>
        <v>225</v>
      </c>
    </row>
    <row r="69" spans="1:12">
      <c r="A69" s="8"/>
      <c r="D69" s="40"/>
      <c r="E69" s="20"/>
      <c r="G69" s="20"/>
      <c r="I69" s="20"/>
      <c r="J69" s="20"/>
      <c r="K69" s="20"/>
    </row>
    <row r="70" spans="1:12">
      <c r="A70" s="8"/>
      <c r="B70" s="57" t="s">
        <v>232</v>
      </c>
      <c r="C70" s="54"/>
      <c r="D70" s="54"/>
      <c r="E70" s="54"/>
      <c r="F70" s="54"/>
      <c r="G70" s="54"/>
      <c r="H70" s="54"/>
      <c r="I70" s="54"/>
      <c r="J70" s="54"/>
      <c r="K70" s="54"/>
    </row>
    <row r="71" spans="1:12">
      <c r="A71" s="8"/>
      <c r="B71" s="11" t="s">
        <v>206</v>
      </c>
    </row>
    <row r="72" spans="1:12">
      <c r="A72" s="8"/>
      <c r="B72" s="811" t="str">
        <f>"1) Input the Total Amortization amount on Line "&amp;A91&amp;" that will set the December Month Ending Balance on Line "&amp;A90&amp;", "&amp;I74&amp;" equal to $0. (Hint: Use the Goal Seek Function to set the December Month Ending Balance in Col 7 to equal $0)"</f>
        <v>1) Input the Total Amortization amount on Line 312 that will set the December Month Ending Balance on Line 311, Col 7 equal to $0. (Hint: Use the Goal Seek Function to set the December Month Ending Balance in Col 7 to equal $0)</v>
      </c>
      <c r="C72" s="811"/>
      <c r="D72" s="811"/>
      <c r="E72" s="811"/>
      <c r="F72" s="811"/>
      <c r="G72" s="811"/>
      <c r="H72" s="811"/>
      <c r="I72" s="811"/>
      <c r="J72" s="811"/>
      <c r="K72" s="811"/>
    </row>
    <row r="73" spans="1:12">
      <c r="A73" s="8"/>
      <c r="B73" s="811"/>
      <c r="C73" s="811"/>
      <c r="D73" s="811"/>
      <c r="E73" s="811"/>
      <c r="F73" s="811"/>
      <c r="G73" s="811"/>
      <c r="H73" s="811"/>
      <c r="I73" s="811"/>
      <c r="J73" s="811"/>
      <c r="K73" s="811"/>
    </row>
    <row r="74" spans="1:12">
      <c r="C74" s="13" t="s">
        <v>100</v>
      </c>
      <c r="D74" s="13" t="s">
        <v>101</v>
      </c>
      <c r="E74" s="13" t="s">
        <v>102</v>
      </c>
      <c r="F74" s="13" t="s">
        <v>103</v>
      </c>
      <c r="G74" s="13" t="s">
        <v>104</v>
      </c>
      <c r="H74" s="13" t="s">
        <v>105</v>
      </c>
      <c r="I74" s="13" t="s">
        <v>106</v>
      </c>
    </row>
    <row r="75" spans="1:12">
      <c r="C75" s="30"/>
      <c r="D75" s="30" t="s">
        <v>222</v>
      </c>
      <c r="E75" s="30"/>
      <c r="F75" s="30" t="str">
        <f>""&amp;D74&amp;" + "&amp;E74&amp;""</f>
        <v>Col 2 + Col 3</v>
      </c>
      <c r="G75" s="30" t="s">
        <v>223</v>
      </c>
      <c r="H75" s="30" t="s">
        <v>224</v>
      </c>
      <c r="I75" s="30" t="str">
        <f>""&amp;F74&amp;" + "&amp;G74&amp;""</f>
        <v>Col 4 + Col 5</v>
      </c>
    </row>
    <row r="76" spans="1:12">
      <c r="B76" s="8"/>
      <c r="C76" s="8"/>
      <c r="D76" s="8" t="s">
        <v>82</v>
      </c>
      <c r="E76" s="64"/>
      <c r="F76" s="8" t="s">
        <v>82</v>
      </c>
      <c r="G76" s="8"/>
      <c r="H76" s="8"/>
      <c r="I76" s="8"/>
    </row>
    <row r="77" spans="1:12">
      <c r="B77" s="8"/>
      <c r="C77" s="8"/>
      <c r="D77" s="8" t="s">
        <v>207</v>
      </c>
      <c r="E77" s="64"/>
      <c r="F77" s="8" t="s">
        <v>209</v>
      </c>
      <c r="G77" s="8" t="s">
        <v>210</v>
      </c>
      <c r="H77" s="8" t="s">
        <v>109</v>
      </c>
      <c r="I77" s="8" t="s">
        <v>82</v>
      </c>
    </row>
    <row r="78" spans="1:12">
      <c r="A78" s="13" t="s">
        <v>124</v>
      </c>
      <c r="B78" s="13" t="s">
        <v>82</v>
      </c>
      <c r="C78" s="13" t="s">
        <v>111</v>
      </c>
      <c r="D78" s="13" t="s">
        <v>143</v>
      </c>
      <c r="E78" s="13" t="s">
        <v>208</v>
      </c>
      <c r="F78" s="13" t="s">
        <v>198</v>
      </c>
      <c r="G78" s="13" t="s">
        <v>211</v>
      </c>
      <c r="H78" s="13" t="s">
        <v>167</v>
      </c>
      <c r="I78" s="13" t="s">
        <v>209</v>
      </c>
      <c r="L78" s="13" t="str">
        <f t="shared" ref="L78:L91" si="14">A78</f>
        <v>Line</v>
      </c>
    </row>
    <row r="79" spans="1:12">
      <c r="A79" s="8">
        <v>300</v>
      </c>
      <c r="B79" t="s">
        <v>114</v>
      </c>
      <c r="C79" s="30">
        <f>'1-BaseTRR'!$F$1</f>
        <v>2024</v>
      </c>
      <c r="D79" s="22">
        <f ca="1">K68</f>
        <v>-167913422.58000001</v>
      </c>
      <c r="E79" s="22">
        <f t="shared" ref="E79:E90" si="15">$E$91/12</f>
        <v>14586545.241666667</v>
      </c>
      <c r="F79" s="22">
        <f ca="1">D79+E79</f>
        <v>-153326877.33833334</v>
      </c>
      <c r="G79" s="22">
        <f ca="1">ROUND(((D79+F79)/2)*H79,2)</f>
        <v>-1124341.05</v>
      </c>
      <c r="H79" s="65">
        <f>$H$68</f>
        <v>7.0000000000000001E-3</v>
      </c>
      <c r="I79" s="22">
        <f ca="1">ROUND(G79+F79,2)</f>
        <v>-154451218.38999999</v>
      </c>
      <c r="L79" s="8">
        <f t="shared" si="14"/>
        <v>300</v>
      </c>
    </row>
    <row r="80" spans="1:12">
      <c r="A80" s="8">
        <f>A79+1</f>
        <v>301</v>
      </c>
      <c r="B80" t="s">
        <v>115</v>
      </c>
      <c r="C80" s="30">
        <f>'1-BaseTRR'!$F$1</f>
        <v>2024</v>
      </c>
      <c r="D80" s="22">
        <f ca="1">I79</f>
        <v>-154451218.38999999</v>
      </c>
      <c r="E80" s="22">
        <f t="shared" si="15"/>
        <v>14586545.241666667</v>
      </c>
      <c r="F80" s="22">
        <f t="shared" ref="F80:F90" ca="1" si="16">D80+E80</f>
        <v>-139864673.14833331</v>
      </c>
      <c r="G80" s="22">
        <f t="shared" ref="G80:G90" ca="1" si="17">ROUND(((D80+F80)/2)*H80,2)</f>
        <v>-1030105.62</v>
      </c>
      <c r="H80" s="65">
        <f t="shared" ref="H80:H90" si="18">$H$68</f>
        <v>7.0000000000000001E-3</v>
      </c>
      <c r="I80" s="22">
        <f t="shared" ref="I80:I90" ca="1" si="19">ROUND(G80+F80,2)</f>
        <v>-140894778.77000001</v>
      </c>
      <c r="L80" s="8">
        <f t="shared" si="14"/>
        <v>301</v>
      </c>
    </row>
    <row r="81" spans="1:19">
      <c r="A81" s="8">
        <f t="shared" ref="A81:A91" si="20">A80+1</f>
        <v>302</v>
      </c>
      <c r="B81" t="s">
        <v>116</v>
      </c>
      <c r="C81" s="30">
        <f>'1-BaseTRR'!$F$1</f>
        <v>2024</v>
      </c>
      <c r="D81" s="22">
        <f t="shared" ref="D81:D90" ca="1" si="21">I80</f>
        <v>-140894778.77000001</v>
      </c>
      <c r="E81" s="22">
        <f t="shared" si="15"/>
        <v>14586545.241666667</v>
      </c>
      <c r="F81" s="22">
        <f t="shared" ca="1" si="16"/>
        <v>-126308233.52833334</v>
      </c>
      <c r="G81" s="22">
        <f t="shared" ca="1" si="17"/>
        <v>-935210.54</v>
      </c>
      <c r="H81" s="65">
        <f t="shared" si="18"/>
        <v>7.0000000000000001E-3</v>
      </c>
      <c r="I81" s="22">
        <f t="shared" ca="1" si="19"/>
        <v>-127243444.06999999</v>
      </c>
      <c r="L81" s="8">
        <f t="shared" si="14"/>
        <v>302</v>
      </c>
    </row>
    <row r="82" spans="1:19">
      <c r="A82" s="8">
        <f t="shared" si="20"/>
        <v>303</v>
      </c>
      <c r="B82" t="s">
        <v>117</v>
      </c>
      <c r="C82" s="30">
        <f>'1-BaseTRR'!$F$1</f>
        <v>2024</v>
      </c>
      <c r="D82" s="22">
        <f t="shared" ca="1" si="21"/>
        <v>-127243444.06999999</v>
      </c>
      <c r="E82" s="22">
        <f t="shared" si="15"/>
        <v>14586545.241666667</v>
      </c>
      <c r="F82" s="22">
        <f t="shared" ca="1" si="16"/>
        <v>-112656898.82833332</v>
      </c>
      <c r="G82" s="22">
        <f t="shared" ca="1" si="17"/>
        <v>-839651.2</v>
      </c>
      <c r="H82" s="65">
        <f t="shared" si="18"/>
        <v>7.0000000000000001E-3</v>
      </c>
      <c r="I82" s="22">
        <f t="shared" ca="1" si="19"/>
        <v>-113496550.03</v>
      </c>
      <c r="L82" s="8">
        <f t="shared" si="14"/>
        <v>303</v>
      </c>
      <c r="S82" s="33"/>
    </row>
    <row r="83" spans="1:19">
      <c r="A83" s="8">
        <f t="shared" si="20"/>
        <v>304</v>
      </c>
      <c r="B83" t="s">
        <v>90</v>
      </c>
      <c r="C83" s="30">
        <f>'1-BaseTRR'!$F$1</f>
        <v>2024</v>
      </c>
      <c r="D83" s="22">
        <f t="shared" ca="1" si="21"/>
        <v>-113496550.03</v>
      </c>
      <c r="E83" s="22">
        <f t="shared" si="15"/>
        <v>14586545.241666667</v>
      </c>
      <c r="F83" s="22">
        <f t="shared" ca="1" si="16"/>
        <v>-98910004.788333327</v>
      </c>
      <c r="G83" s="22">
        <f t="shared" ca="1" si="17"/>
        <v>-743422.94</v>
      </c>
      <c r="H83" s="65">
        <f t="shared" si="18"/>
        <v>7.0000000000000001E-3</v>
      </c>
      <c r="I83" s="22">
        <f t="shared" ca="1" si="19"/>
        <v>-99653427.730000004</v>
      </c>
      <c r="L83" s="8">
        <f t="shared" si="14"/>
        <v>304</v>
      </c>
    </row>
    <row r="84" spans="1:19">
      <c r="A84" s="8">
        <f t="shared" si="20"/>
        <v>305</v>
      </c>
      <c r="B84" t="s">
        <v>118</v>
      </c>
      <c r="C84" s="30">
        <f>'1-BaseTRR'!$F$1</f>
        <v>2024</v>
      </c>
      <c r="D84" s="22">
        <f t="shared" ca="1" si="21"/>
        <v>-99653427.730000004</v>
      </c>
      <c r="E84" s="22">
        <f t="shared" si="15"/>
        <v>14586545.241666667</v>
      </c>
      <c r="F84" s="22">
        <f t="shared" ca="1" si="16"/>
        <v>-85066882.488333344</v>
      </c>
      <c r="G84" s="22">
        <f t="shared" ca="1" si="17"/>
        <v>-646521.09</v>
      </c>
      <c r="H84" s="65">
        <f t="shared" si="18"/>
        <v>7.0000000000000001E-3</v>
      </c>
      <c r="I84" s="22">
        <f t="shared" ca="1" si="19"/>
        <v>-85713403.579999998</v>
      </c>
      <c r="L84" s="8">
        <f t="shared" si="14"/>
        <v>305</v>
      </c>
    </row>
    <row r="85" spans="1:19">
      <c r="A85" s="8">
        <f t="shared" si="20"/>
        <v>306</v>
      </c>
      <c r="B85" t="s">
        <v>119</v>
      </c>
      <c r="C85" s="30">
        <f>'1-BaseTRR'!$F$1</f>
        <v>2024</v>
      </c>
      <c r="D85" s="22">
        <f t="shared" ca="1" si="21"/>
        <v>-85713403.579999998</v>
      </c>
      <c r="E85" s="22">
        <f t="shared" si="15"/>
        <v>14586545.241666667</v>
      </c>
      <c r="F85" s="22">
        <f t="shared" ca="1" si="16"/>
        <v>-71126858.338333338</v>
      </c>
      <c r="G85" s="22">
        <f t="shared" ca="1" si="17"/>
        <v>-548940.92000000004</v>
      </c>
      <c r="H85" s="65">
        <f t="shared" si="18"/>
        <v>7.0000000000000001E-3</v>
      </c>
      <c r="I85" s="22">
        <f t="shared" ca="1" si="19"/>
        <v>-71675799.260000005</v>
      </c>
      <c r="L85" s="8">
        <f t="shared" si="14"/>
        <v>306</v>
      </c>
    </row>
    <row r="86" spans="1:19">
      <c r="A86" s="8">
        <f t="shared" si="20"/>
        <v>307</v>
      </c>
      <c r="B86" t="s">
        <v>120</v>
      </c>
      <c r="C86" s="30">
        <f>'1-BaseTRR'!$F$1</f>
        <v>2024</v>
      </c>
      <c r="D86" s="22">
        <f t="shared" ca="1" si="21"/>
        <v>-71675799.260000005</v>
      </c>
      <c r="E86" s="22">
        <f t="shared" si="15"/>
        <v>14586545.241666667</v>
      </c>
      <c r="F86" s="22">
        <f t="shared" ca="1" si="16"/>
        <v>-57089254.018333338</v>
      </c>
      <c r="G86" s="22">
        <f t="shared" ca="1" si="17"/>
        <v>-450677.69</v>
      </c>
      <c r="H86" s="65">
        <f t="shared" si="18"/>
        <v>7.0000000000000001E-3</v>
      </c>
      <c r="I86" s="22">
        <f t="shared" ca="1" si="19"/>
        <v>-57539931.710000001</v>
      </c>
      <c r="L86" s="8">
        <f t="shared" si="14"/>
        <v>307</v>
      </c>
    </row>
    <row r="87" spans="1:19">
      <c r="A87" s="8">
        <f t="shared" si="20"/>
        <v>308</v>
      </c>
      <c r="B87" t="s">
        <v>121</v>
      </c>
      <c r="C87" s="30">
        <f>'1-BaseTRR'!$F$1</f>
        <v>2024</v>
      </c>
      <c r="D87" s="22">
        <f t="shared" ca="1" si="21"/>
        <v>-57539931.710000001</v>
      </c>
      <c r="E87" s="22">
        <f t="shared" si="15"/>
        <v>14586545.241666667</v>
      </c>
      <c r="F87" s="22">
        <f t="shared" ca="1" si="16"/>
        <v>-42953386.468333334</v>
      </c>
      <c r="G87" s="22">
        <f t="shared" ca="1" si="17"/>
        <v>-351726.61</v>
      </c>
      <c r="H87" s="65">
        <f t="shared" si="18"/>
        <v>7.0000000000000001E-3</v>
      </c>
      <c r="I87" s="22">
        <f t="shared" ca="1" si="19"/>
        <v>-43305113.079999998</v>
      </c>
      <c r="L87" s="8">
        <f t="shared" si="14"/>
        <v>308</v>
      </c>
    </row>
    <row r="88" spans="1:19">
      <c r="A88" s="8">
        <f t="shared" si="20"/>
        <v>309</v>
      </c>
      <c r="B88" t="s">
        <v>122</v>
      </c>
      <c r="C88" s="30">
        <f>'1-BaseTRR'!$F$1</f>
        <v>2024</v>
      </c>
      <c r="D88" s="22">
        <f t="shared" ca="1" si="21"/>
        <v>-43305113.079999998</v>
      </c>
      <c r="E88" s="22">
        <f t="shared" si="15"/>
        <v>14586545.241666667</v>
      </c>
      <c r="F88" s="22">
        <f t="shared" ca="1" si="16"/>
        <v>-28718567.838333331</v>
      </c>
      <c r="G88" s="22">
        <f t="shared" ca="1" si="17"/>
        <v>-252082.88</v>
      </c>
      <c r="H88" s="65">
        <f t="shared" si="18"/>
        <v>7.0000000000000001E-3</v>
      </c>
      <c r="I88" s="22">
        <f t="shared" ca="1" si="19"/>
        <v>-28970650.719999999</v>
      </c>
      <c r="L88" s="8">
        <f t="shared" si="14"/>
        <v>309</v>
      </c>
    </row>
    <row r="89" spans="1:19">
      <c r="A89" s="8">
        <f t="shared" si="20"/>
        <v>310</v>
      </c>
      <c r="B89" t="s">
        <v>123</v>
      </c>
      <c r="C89" s="30">
        <f>'1-BaseTRR'!$F$1</f>
        <v>2024</v>
      </c>
      <c r="D89" s="22">
        <f t="shared" ca="1" si="21"/>
        <v>-28970650.719999999</v>
      </c>
      <c r="E89" s="22">
        <f t="shared" si="15"/>
        <v>14586545.241666667</v>
      </c>
      <c r="F89" s="22">
        <f t="shared" ca="1" si="16"/>
        <v>-14384105.478333332</v>
      </c>
      <c r="G89" s="22">
        <f t="shared" ca="1" si="17"/>
        <v>-151741.65</v>
      </c>
      <c r="H89" s="65">
        <f t="shared" si="18"/>
        <v>7.0000000000000001E-3</v>
      </c>
      <c r="I89" s="22">
        <f t="shared" ca="1" si="19"/>
        <v>-14535847.130000001</v>
      </c>
      <c r="L89" s="8">
        <f t="shared" si="14"/>
        <v>310</v>
      </c>
    </row>
    <row r="90" spans="1:19">
      <c r="A90" s="8">
        <f t="shared" si="20"/>
        <v>311</v>
      </c>
      <c r="B90" t="s">
        <v>113</v>
      </c>
      <c r="C90" s="30">
        <f>'1-BaseTRR'!$F$1</f>
        <v>2024</v>
      </c>
      <c r="D90" s="22">
        <f t="shared" ca="1" si="21"/>
        <v>-14535847.130000001</v>
      </c>
      <c r="E90" s="22">
        <f t="shared" si="15"/>
        <v>14586545.241666667</v>
      </c>
      <c r="F90" s="22">
        <f t="shared" ca="1" si="16"/>
        <v>50698.111666666344</v>
      </c>
      <c r="G90" s="22">
        <f t="shared" ca="1" si="17"/>
        <v>-50698.02</v>
      </c>
      <c r="H90" s="65">
        <f t="shared" si="18"/>
        <v>7.0000000000000001E-3</v>
      </c>
      <c r="I90" s="22">
        <f t="shared" ca="1" si="19"/>
        <v>0.09</v>
      </c>
      <c r="L90" s="8">
        <f t="shared" si="14"/>
        <v>311</v>
      </c>
    </row>
    <row r="91" spans="1:19">
      <c r="A91" s="8">
        <f t="shared" si="20"/>
        <v>312</v>
      </c>
      <c r="D91" s="15" t="s">
        <v>227</v>
      </c>
      <c r="E91" s="668">
        <v>175038542.90000001</v>
      </c>
      <c r="G91" s="37"/>
      <c r="H91" s="66"/>
      <c r="L91" s="8">
        <f t="shared" si="14"/>
        <v>312</v>
      </c>
    </row>
    <row r="92" spans="1:19">
      <c r="E92" s="33"/>
    </row>
    <row r="93" spans="1:19">
      <c r="B93" s="57" t="s">
        <v>233</v>
      </c>
      <c r="C93" s="54"/>
      <c r="D93" s="54"/>
      <c r="E93" s="54"/>
      <c r="F93" s="54"/>
      <c r="G93" s="54"/>
      <c r="H93" s="54"/>
      <c r="I93" s="54"/>
      <c r="J93" s="54"/>
      <c r="K93" s="54"/>
    </row>
    <row r="94" spans="1:19">
      <c r="A94" s="13" t="s">
        <v>124</v>
      </c>
      <c r="B94" s="13" t="s">
        <v>212</v>
      </c>
      <c r="C94" s="13" t="s">
        <v>54</v>
      </c>
      <c r="L94" s="13" t="str">
        <f>A94</f>
        <v>Line</v>
      </c>
    </row>
    <row r="95" spans="1:19">
      <c r="A95" s="8">
        <v>400</v>
      </c>
      <c r="B95" s="22">
        <f>-E91</f>
        <v>-175038542.90000001</v>
      </c>
      <c r="C95" t="str">
        <f>"Negative Line "&amp;A91&amp;", "&amp;E74&amp;""</f>
        <v>Negative Line 312, Col 3</v>
      </c>
      <c r="L95" s="8">
        <f t="shared" ref="L95" si="22">A95</f>
        <v>400</v>
      </c>
    </row>
    <row r="97" spans="1:12">
      <c r="A97" s="8"/>
      <c r="B97" s="57" t="s">
        <v>1436</v>
      </c>
      <c r="C97" s="54"/>
      <c r="D97" s="58"/>
      <c r="E97" s="59"/>
      <c r="F97" s="54"/>
      <c r="G97" s="59"/>
      <c r="H97" s="54"/>
      <c r="I97" s="59"/>
      <c r="J97" s="59"/>
      <c r="K97" s="59"/>
    </row>
    <row r="98" spans="1:12">
      <c r="A98" s="8"/>
      <c r="B98" s="11" t="s">
        <v>206</v>
      </c>
      <c r="D98" s="40"/>
      <c r="E98" s="20"/>
      <c r="G98" s="20"/>
      <c r="I98" s="20"/>
      <c r="J98" s="20"/>
      <c r="K98" s="20"/>
    </row>
    <row r="99" spans="1:12">
      <c r="A99" s="8"/>
      <c r="B99" s="812" t="str">
        <f>"1) On Line "&amp;$A$102&amp;", Input 'No' for a Full Year True-up, otherwise Input 'Yes' for a Partial Year True-up"</f>
        <v>1) On Line 500, Input 'No' for a Full Year True-up, otherwise Input 'Yes' for a Partial Year True-up</v>
      </c>
      <c r="C99" s="812"/>
      <c r="D99" s="812"/>
      <c r="E99" s="812"/>
      <c r="F99" s="812"/>
      <c r="G99" s="812"/>
      <c r="H99" s="812"/>
      <c r="I99" s="812"/>
      <c r="J99" s="812"/>
      <c r="K99" s="812"/>
    </row>
    <row r="100" spans="1:12">
      <c r="A100" s="8"/>
      <c r="B100" s="812" t="str">
        <f>"2) If Line "&amp;$A$102&amp;" is 'Yes', Input 'Yes' or 'No'  in "&amp;$F$104&amp;" for each month that the Formula Rate was in effect in the Prior Year and Input the True-up TRR Allocation Factors into "&amp;D104&amp;"."</f>
        <v>2) If Line 500 is 'Yes', Input 'Yes' or 'No'  in Col 4 for each month that the Formula Rate was in effect in the Prior Year and Input the True-up TRR Allocation Factors into Col 2.</v>
      </c>
      <c r="C100" s="812"/>
      <c r="D100" s="812"/>
      <c r="E100" s="812"/>
      <c r="F100" s="812"/>
      <c r="G100" s="812"/>
      <c r="H100" s="812"/>
      <c r="I100" s="812"/>
      <c r="J100" s="812"/>
      <c r="K100" s="812"/>
    </row>
    <row r="101" spans="1:12">
      <c r="A101" s="13" t="s">
        <v>124</v>
      </c>
      <c r="D101" s="40"/>
      <c r="E101" s="20"/>
      <c r="G101" s="20"/>
      <c r="I101" s="20"/>
      <c r="J101" s="20"/>
      <c r="K101" s="20"/>
      <c r="L101" s="13" t="str">
        <f>A101</f>
        <v>Line</v>
      </c>
    </row>
    <row r="102" spans="1:12">
      <c r="A102" s="8">
        <v>500</v>
      </c>
      <c r="B102" s="14" t="s">
        <v>217</v>
      </c>
      <c r="D102" s="55" t="s">
        <v>1900</v>
      </c>
      <c r="L102" s="8">
        <f>A102</f>
        <v>500</v>
      </c>
    </row>
    <row r="103" spans="1:12">
      <c r="A103" s="8"/>
      <c r="D103" s="40"/>
      <c r="E103" s="20"/>
      <c r="G103" s="20"/>
      <c r="I103" s="20"/>
      <c r="J103" s="20"/>
      <c r="K103" s="20"/>
    </row>
    <row r="104" spans="1:12">
      <c r="A104" s="8"/>
      <c r="C104" s="8" t="s">
        <v>100</v>
      </c>
      <c r="D104" s="8" t="s">
        <v>101</v>
      </c>
      <c r="E104" s="8" t="s">
        <v>102</v>
      </c>
      <c r="F104" s="8" t="s">
        <v>103</v>
      </c>
      <c r="I104" s="20"/>
      <c r="J104" s="20"/>
      <c r="K104" s="20"/>
    </row>
    <row r="105" spans="1:12">
      <c r="A105" s="8"/>
      <c r="C105" s="8"/>
      <c r="D105" s="30" t="s">
        <v>225</v>
      </c>
      <c r="E105" s="30" t="s">
        <v>1435</v>
      </c>
      <c r="F105" s="30"/>
      <c r="I105" s="20"/>
      <c r="J105" s="20"/>
      <c r="K105" s="20"/>
    </row>
    <row r="106" spans="1:12">
      <c r="A106" s="8"/>
      <c r="B106" s="12"/>
      <c r="C106" s="8"/>
      <c r="D106" s="60" t="s">
        <v>195</v>
      </c>
      <c r="E106" s="8" t="s">
        <v>1438</v>
      </c>
      <c r="F106" s="64" t="s">
        <v>216</v>
      </c>
      <c r="I106" s="20"/>
      <c r="J106" s="20"/>
      <c r="K106" s="20"/>
    </row>
    <row r="107" spans="1:12">
      <c r="B107" s="13" t="s">
        <v>82</v>
      </c>
      <c r="C107" s="13" t="s">
        <v>134</v>
      </c>
      <c r="D107" s="13" t="s">
        <v>145</v>
      </c>
      <c r="E107" s="316" t="s">
        <v>1437</v>
      </c>
      <c r="F107" s="61" t="s">
        <v>204</v>
      </c>
      <c r="H107" s="20"/>
      <c r="J107" s="20"/>
      <c r="K107" s="20"/>
    </row>
    <row r="108" spans="1:12">
      <c r="A108" s="8">
        <f>A102+1</f>
        <v>501</v>
      </c>
      <c r="B108" t="s">
        <v>114</v>
      </c>
      <c r="C108" s="30">
        <f t="shared" ref="C108:C119" si="23">C45</f>
        <v>2022</v>
      </c>
      <c r="D108" s="513">
        <f t="shared" ref="D108:D119" si="24">E108/$E$120</f>
        <v>7.6585992533783148E-2</v>
      </c>
      <c r="E108" s="566">
        <v>6791474.0275471397</v>
      </c>
      <c r="F108" s="62" t="s">
        <v>1902</v>
      </c>
      <c r="G108" s="796"/>
      <c r="H108" s="20"/>
      <c r="J108" s="20"/>
      <c r="K108" s="20"/>
      <c r="L108" s="8">
        <f t="shared" ref="L108:L119" si="25">A108</f>
        <v>501</v>
      </c>
    </row>
    <row r="109" spans="1:12">
      <c r="A109" s="8">
        <f>A108+1</f>
        <v>502</v>
      </c>
      <c r="B109" t="s">
        <v>115</v>
      </c>
      <c r="C109" s="30">
        <f t="shared" si="23"/>
        <v>2022</v>
      </c>
      <c r="D109" s="513">
        <f t="shared" si="24"/>
        <v>6.9909960645105254E-2</v>
      </c>
      <c r="E109" s="566">
        <v>6199458.4946932402</v>
      </c>
      <c r="F109" s="62" t="s">
        <v>1902</v>
      </c>
      <c r="G109" s="796"/>
      <c r="H109" s="20"/>
      <c r="J109" s="20"/>
      <c r="K109" s="20"/>
      <c r="L109" s="8">
        <f t="shared" si="25"/>
        <v>502</v>
      </c>
    </row>
    <row r="110" spans="1:12">
      <c r="A110" s="8">
        <f t="shared" ref="A110:A120" si="26">A109+1</f>
        <v>503</v>
      </c>
      <c r="B110" t="s">
        <v>116</v>
      </c>
      <c r="C110" s="30">
        <f t="shared" si="23"/>
        <v>2022</v>
      </c>
      <c r="D110" s="513">
        <f t="shared" si="24"/>
        <v>7.5066847826124813E-2</v>
      </c>
      <c r="E110" s="566">
        <v>6656759.6824716199</v>
      </c>
      <c r="F110" s="62" t="s">
        <v>1902</v>
      </c>
      <c r="G110" s="796"/>
      <c r="H110" s="20"/>
      <c r="J110" s="20"/>
      <c r="K110" s="20"/>
      <c r="L110" s="8">
        <f t="shared" si="25"/>
        <v>503</v>
      </c>
    </row>
    <row r="111" spans="1:12">
      <c r="A111" s="8">
        <f t="shared" si="26"/>
        <v>504</v>
      </c>
      <c r="B111" t="s">
        <v>117</v>
      </c>
      <c r="C111" s="30">
        <f t="shared" si="23"/>
        <v>2022</v>
      </c>
      <c r="D111" s="513">
        <f t="shared" si="24"/>
        <v>7.3196274958742841E-2</v>
      </c>
      <c r="E111" s="566">
        <v>6490881.4764817301</v>
      </c>
      <c r="F111" s="62" t="s">
        <v>1902</v>
      </c>
      <c r="G111" s="796"/>
      <c r="H111" s="20"/>
      <c r="J111" s="20"/>
      <c r="K111" s="20"/>
      <c r="L111" s="8">
        <f t="shared" si="25"/>
        <v>504</v>
      </c>
    </row>
    <row r="112" spans="1:12">
      <c r="A112" s="8">
        <f t="shared" si="26"/>
        <v>505</v>
      </c>
      <c r="B112" t="s">
        <v>90</v>
      </c>
      <c r="C112" s="30">
        <f t="shared" si="23"/>
        <v>2022</v>
      </c>
      <c r="D112" s="513">
        <f t="shared" si="24"/>
        <v>8.25804422557916E-2</v>
      </c>
      <c r="E112" s="566">
        <v>7323048.3827205002</v>
      </c>
      <c r="F112" s="62" t="s">
        <v>1902</v>
      </c>
      <c r="G112" s="796"/>
      <c r="H112" s="20"/>
      <c r="J112" s="20"/>
      <c r="K112" s="20"/>
      <c r="L112" s="8">
        <f t="shared" si="25"/>
        <v>505</v>
      </c>
    </row>
    <row r="113" spans="1:12">
      <c r="A113" s="8">
        <f t="shared" si="26"/>
        <v>506</v>
      </c>
      <c r="B113" t="s">
        <v>118</v>
      </c>
      <c r="C113" s="30">
        <f t="shared" si="23"/>
        <v>2022</v>
      </c>
      <c r="D113" s="513">
        <f t="shared" si="24"/>
        <v>9.2996430402866745E-2</v>
      </c>
      <c r="E113" s="566">
        <v>8246714.8474580999</v>
      </c>
      <c r="F113" s="62" t="s">
        <v>1902</v>
      </c>
      <c r="G113" s="796"/>
      <c r="H113" s="20"/>
      <c r="J113" s="20"/>
      <c r="K113" s="20"/>
      <c r="L113" s="8">
        <f t="shared" si="25"/>
        <v>506</v>
      </c>
    </row>
    <row r="114" spans="1:12">
      <c r="A114" s="8">
        <f t="shared" si="26"/>
        <v>507</v>
      </c>
      <c r="B114" t="s">
        <v>119</v>
      </c>
      <c r="C114" s="30">
        <f t="shared" si="23"/>
        <v>2022</v>
      </c>
      <c r="D114" s="513">
        <f t="shared" si="24"/>
        <v>9.9291872783829033E-2</v>
      </c>
      <c r="E114" s="566">
        <v>8804980.5564696398</v>
      </c>
      <c r="F114" s="62" t="s">
        <v>1902</v>
      </c>
      <c r="G114" s="796"/>
      <c r="H114" s="20"/>
      <c r="J114" s="20"/>
      <c r="K114" s="20"/>
      <c r="L114" s="8">
        <f t="shared" si="25"/>
        <v>507</v>
      </c>
    </row>
    <row r="115" spans="1:12">
      <c r="A115" s="8">
        <f t="shared" si="26"/>
        <v>508</v>
      </c>
      <c r="B115" t="s">
        <v>120</v>
      </c>
      <c r="C115" s="30">
        <f t="shared" si="23"/>
        <v>2022</v>
      </c>
      <c r="D115" s="513">
        <f t="shared" si="24"/>
        <v>0.10281382793178807</v>
      </c>
      <c r="E115" s="566">
        <v>9117299.6388788503</v>
      </c>
      <c r="F115" s="62" t="s">
        <v>1902</v>
      </c>
      <c r="G115" s="796"/>
      <c r="H115" s="20"/>
      <c r="J115" s="20"/>
      <c r="K115" s="20"/>
      <c r="L115" s="8">
        <f t="shared" si="25"/>
        <v>508</v>
      </c>
    </row>
    <row r="116" spans="1:12">
      <c r="A116" s="8">
        <f t="shared" si="26"/>
        <v>509</v>
      </c>
      <c r="B116" t="s">
        <v>121</v>
      </c>
      <c r="C116" s="30">
        <f t="shared" si="23"/>
        <v>2022</v>
      </c>
      <c r="D116" s="513">
        <f t="shared" si="24"/>
        <v>9.3309349059731317E-2</v>
      </c>
      <c r="E116" s="566">
        <v>8274463.7720397497</v>
      </c>
      <c r="F116" s="62" t="s">
        <v>1902</v>
      </c>
      <c r="G116" s="796"/>
      <c r="H116" s="20"/>
      <c r="J116" s="20"/>
      <c r="K116" s="20"/>
      <c r="L116" s="8">
        <f t="shared" si="25"/>
        <v>509</v>
      </c>
    </row>
    <row r="117" spans="1:12">
      <c r="A117" s="8">
        <f t="shared" si="26"/>
        <v>510</v>
      </c>
      <c r="B117" t="s">
        <v>122</v>
      </c>
      <c r="C117" s="30">
        <f t="shared" si="23"/>
        <v>2022</v>
      </c>
      <c r="D117" s="513">
        <f t="shared" si="24"/>
        <v>8.0146287642275674E-2</v>
      </c>
      <c r="E117" s="566">
        <v>7107193.0116559397</v>
      </c>
      <c r="F117" s="62" t="s">
        <v>1902</v>
      </c>
      <c r="G117" s="796"/>
      <c r="L117" s="8">
        <f t="shared" si="25"/>
        <v>510</v>
      </c>
    </row>
    <row r="118" spans="1:12">
      <c r="A118" s="8">
        <f t="shared" si="26"/>
        <v>511</v>
      </c>
      <c r="B118" t="s">
        <v>123</v>
      </c>
      <c r="C118" s="30">
        <f t="shared" si="23"/>
        <v>2022</v>
      </c>
      <c r="D118" s="513">
        <f t="shared" si="24"/>
        <v>7.3909658379359755E-2</v>
      </c>
      <c r="E118" s="566">
        <v>6554142.7180288099</v>
      </c>
      <c r="F118" s="62" t="s">
        <v>1902</v>
      </c>
      <c r="G118" s="796"/>
      <c r="L118" s="8">
        <f t="shared" si="25"/>
        <v>511</v>
      </c>
    </row>
    <row r="119" spans="1:12">
      <c r="A119" s="8">
        <f t="shared" si="26"/>
        <v>512</v>
      </c>
      <c r="B119" t="s">
        <v>113</v>
      </c>
      <c r="C119" s="30">
        <f t="shared" si="23"/>
        <v>2022</v>
      </c>
      <c r="D119" s="565">
        <f t="shared" si="24"/>
        <v>8.019305558060158E-2</v>
      </c>
      <c r="E119" s="567">
        <v>7111340.2875213297</v>
      </c>
      <c r="F119" s="62" t="s">
        <v>1902</v>
      </c>
      <c r="G119" s="796"/>
      <c r="L119" s="8">
        <f t="shared" si="25"/>
        <v>512</v>
      </c>
    </row>
    <row r="120" spans="1:12">
      <c r="A120" s="8">
        <f t="shared" si="26"/>
        <v>513</v>
      </c>
      <c r="B120" s="15" t="s">
        <v>361</v>
      </c>
      <c r="D120" s="575">
        <f>SUM(D108:D119)</f>
        <v>1</v>
      </c>
      <c r="E120" s="241">
        <f>SUM(E108:E119)</f>
        <v>88677756.895966664</v>
      </c>
      <c r="L120" s="8">
        <f t="shared" ref="L120" si="27">A120</f>
        <v>513</v>
      </c>
    </row>
    <row r="122" spans="1:12">
      <c r="B122" s="57" t="s">
        <v>215</v>
      </c>
      <c r="C122" s="54"/>
      <c r="D122" s="54"/>
      <c r="E122" s="54"/>
      <c r="F122" s="54"/>
      <c r="G122" s="54"/>
      <c r="H122" s="54"/>
      <c r="I122" s="54"/>
      <c r="J122" s="54"/>
      <c r="K122" s="54"/>
    </row>
    <row r="123" spans="1:12">
      <c r="B123" s="11" t="s">
        <v>206</v>
      </c>
    </row>
    <row r="124" spans="1:12">
      <c r="B124" s="815" t="s">
        <v>236</v>
      </c>
      <c r="C124" s="815"/>
      <c r="D124" s="815"/>
      <c r="E124" s="815"/>
      <c r="F124" s="815"/>
      <c r="G124" s="815"/>
      <c r="H124" s="815"/>
      <c r="I124" s="815"/>
      <c r="J124" s="815"/>
      <c r="K124" s="815"/>
    </row>
    <row r="125" spans="1:12">
      <c r="B125" s="815"/>
      <c r="C125" s="815"/>
      <c r="D125" s="815"/>
      <c r="E125" s="815"/>
      <c r="F125" s="815"/>
      <c r="G125" s="815"/>
      <c r="H125" s="815"/>
      <c r="I125" s="815"/>
      <c r="J125" s="815"/>
      <c r="K125" s="815"/>
    </row>
    <row r="126" spans="1:12">
      <c r="B126" s="816" t="s">
        <v>226</v>
      </c>
      <c r="C126" s="816"/>
      <c r="D126" s="816"/>
      <c r="E126" s="816"/>
      <c r="F126" s="816"/>
      <c r="G126" s="816"/>
      <c r="H126" s="816"/>
      <c r="I126" s="816"/>
      <c r="J126" s="816"/>
      <c r="K126" s="816"/>
    </row>
    <row r="128" spans="1:12">
      <c r="B128" s="16" t="s">
        <v>127</v>
      </c>
    </row>
    <row r="129" spans="2:11">
      <c r="B129" s="811" t="s">
        <v>1253</v>
      </c>
      <c r="C129" s="811"/>
      <c r="D129" s="811"/>
      <c r="E129" s="811"/>
      <c r="F129" s="811"/>
      <c r="G129" s="811"/>
      <c r="H129" s="811"/>
      <c r="I129" s="811"/>
      <c r="J129" s="811"/>
      <c r="K129" s="811"/>
    </row>
    <row r="130" spans="2:11">
      <c r="B130" s="811"/>
      <c r="C130" s="811"/>
      <c r="D130" s="811"/>
      <c r="E130" s="811"/>
      <c r="F130" s="811"/>
      <c r="G130" s="811"/>
      <c r="H130" s="811"/>
      <c r="I130" s="811"/>
      <c r="J130" s="811"/>
      <c r="K130" s="811"/>
    </row>
    <row r="131" spans="2:11">
      <c r="B131" s="811" t="s">
        <v>237</v>
      </c>
      <c r="C131" s="811"/>
      <c r="D131" s="811"/>
      <c r="E131" s="811"/>
      <c r="F131" s="811"/>
      <c r="G131" s="811"/>
      <c r="H131" s="811"/>
      <c r="I131" s="811"/>
      <c r="J131" s="811"/>
      <c r="K131" s="811"/>
    </row>
    <row r="132" spans="2:11">
      <c r="B132" s="811"/>
      <c r="C132" s="811"/>
      <c r="D132" s="811"/>
      <c r="E132" s="811"/>
      <c r="F132" s="811"/>
      <c r="G132" s="811"/>
      <c r="H132" s="811"/>
      <c r="I132" s="811"/>
      <c r="J132" s="811"/>
      <c r="K132" s="811"/>
    </row>
    <row r="133" spans="2:11" ht="15" customHeight="1">
      <c r="B133" s="811" t="str">
        <f>"3) For each month of the Prior Year, the Monthly True-up TRR is calculated by multiplying the True-up TRR on Line "&amp;A36&amp;" by monthly allocation factors from Lines "&amp;A108&amp;" to "&amp;A119&amp;", "&amp;D104&amp;"."</f>
        <v>3) For each month of the Prior Year, the Monthly True-up TRR is calculated by multiplying the True-up TRR on Line 200 by monthly allocation factors from Lines 501 to 512, Col 2.</v>
      </c>
      <c r="C133" s="811"/>
      <c r="D133" s="811"/>
      <c r="E133" s="811"/>
      <c r="F133" s="811"/>
      <c r="G133" s="811"/>
      <c r="H133" s="811"/>
      <c r="I133" s="811"/>
      <c r="J133" s="811"/>
      <c r="K133" s="811"/>
    </row>
    <row r="134" spans="2:11" ht="15" customHeight="1">
      <c r="B134" s="811" t="str">
        <f>"4) The Retail Transmission Revenues are from Lines "&amp;A13&amp;" to "&amp;A24&amp;", "&amp;C9&amp;".  For a partial year true-up, only revenues for the months that the Formula Rate was in effect in the Prior Year are included."</f>
        <v>4) The Retail Transmission Revenues are from Lines 100 to 111, Col 1.  For a partial year true-up, only revenues for the months that the Formula Rate was in effect in the Prior Year are included.</v>
      </c>
      <c r="C134" s="811"/>
      <c r="D134" s="811"/>
      <c r="E134" s="811"/>
      <c r="F134" s="811"/>
      <c r="G134" s="811"/>
      <c r="H134" s="811"/>
      <c r="I134" s="811"/>
      <c r="J134" s="811"/>
      <c r="K134" s="811"/>
    </row>
    <row r="135" spans="2:11">
      <c r="B135" s="811"/>
      <c r="C135" s="811"/>
      <c r="D135" s="811"/>
      <c r="E135" s="811"/>
      <c r="F135" s="811"/>
      <c r="G135" s="811"/>
      <c r="H135" s="811"/>
      <c r="I135" s="811"/>
      <c r="J135" s="811"/>
      <c r="K135" s="811"/>
    </row>
    <row r="136" spans="2:11">
      <c r="B136" s="812" t="s">
        <v>1494</v>
      </c>
      <c r="C136" s="812"/>
      <c r="D136" s="812"/>
      <c r="E136" s="812"/>
      <c r="F136" s="812"/>
      <c r="G136" s="812"/>
      <c r="H136" s="812"/>
      <c r="I136" s="812"/>
      <c r="J136" s="812"/>
      <c r="K136" s="812"/>
    </row>
    <row r="137" spans="2:11">
      <c r="B137" s="812" t="s">
        <v>240</v>
      </c>
      <c r="C137" s="812"/>
      <c r="D137" s="812"/>
      <c r="E137" s="812"/>
      <c r="F137" s="812"/>
      <c r="G137" s="812"/>
      <c r="H137" s="812"/>
      <c r="I137" s="812"/>
      <c r="J137" s="812"/>
      <c r="K137" s="812"/>
    </row>
    <row r="138" spans="2:11">
      <c r="B138" s="811" t="s">
        <v>238</v>
      </c>
      <c r="C138" s="811"/>
      <c r="D138" s="811"/>
      <c r="E138" s="811"/>
      <c r="F138" s="811"/>
      <c r="G138" s="811"/>
      <c r="H138" s="811"/>
      <c r="I138" s="811"/>
      <c r="J138" s="811"/>
      <c r="K138" s="811"/>
    </row>
    <row r="139" spans="2:11">
      <c r="B139" s="811"/>
      <c r="C139" s="811"/>
      <c r="D139" s="811"/>
      <c r="E139" s="811"/>
      <c r="F139" s="811"/>
      <c r="G139" s="811"/>
      <c r="H139" s="811"/>
      <c r="I139" s="811"/>
      <c r="J139" s="811"/>
      <c r="K139" s="811"/>
    </row>
    <row r="140" spans="2:11">
      <c r="B140" s="812" t="s">
        <v>239</v>
      </c>
      <c r="C140" s="812"/>
      <c r="D140" s="812"/>
      <c r="E140" s="812"/>
      <c r="F140" s="812"/>
      <c r="G140" s="812"/>
      <c r="H140" s="812"/>
      <c r="I140" s="812"/>
      <c r="J140" s="812"/>
      <c r="K140" s="812"/>
    </row>
    <row r="141" spans="2:11">
      <c r="B141" s="812" t="str">
        <f>"9) The January 'Month Beginning Balance' on Line "&amp;A79&amp;", "&amp;D74&amp;" is equal to the 'Cumulative Excess or Shortall in Revenue with Interest' from Line "&amp;A68&amp;", "&amp;K38&amp;"."</f>
        <v>9) The January 'Month Beginning Balance' on Line 300, Col 2 is equal to the 'Cumulative Excess or Shortall in Revenue with Interest' from Line 225, Col 9.</v>
      </c>
      <c r="C141" s="812"/>
      <c r="D141" s="812"/>
      <c r="E141" s="812"/>
      <c r="F141" s="812"/>
      <c r="G141" s="812"/>
      <c r="H141" s="812"/>
      <c r="I141" s="812"/>
      <c r="J141" s="812"/>
      <c r="K141" s="812"/>
    </row>
    <row r="142" spans="2:11">
      <c r="B142" s="811" t="str">
        <f>"10) 'Interest for the Current Month' ("&amp;G74&amp;") is based on the average of the 'Month Beginning Balance' ("&amp;D74&amp;") and the 'Month Ending Balancing without Interest' ("&amp;F74&amp;"), multiplied by the 'Monthly Interest Rate' ("&amp;H74&amp;")."</f>
        <v>10) 'Interest for the Current Month' (Col 5) is based on the average of the 'Month Beginning Balance' (Col 2) and the 'Month Ending Balancing without Interest' (Col 4), multiplied by the 'Monthly Interest Rate' (Col 6).</v>
      </c>
      <c r="C142" s="811"/>
      <c r="D142" s="811"/>
      <c r="E142" s="811"/>
      <c r="F142" s="811"/>
      <c r="G142" s="811"/>
      <c r="H142" s="811"/>
      <c r="I142" s="811"/>
      <c r="J142" s="811"/>
      <c r="K142" s="811"/>
    </row>
    <row r="143" spans="2:11">
      <c r="B143" s="811"/>
      <c r="C143" s="811"/>
      <c r="D143" s="811"/>
      <c r="E143" s="811"/>
      <c r="F143" s="811"/>
      <c r="G143" s="811"/>
      <c r="H143" s="811"/>
      <c r="I143" s="811"/>
      <c r="J143" s="811"/>
      <c r="K143" s="811"/>
    </row>
    <row r="144" spans="2:11">
      <c r="B144" s="812" t="str">
        <f>"11) The 'Monthly Interest Rate' is the last known FERC interest rate from Line "&amp;A68&amp;", "&amp;H38&amp;"."</f>
        <v>11) The 'Monthly Interest Rate' is the last known FERC interest rate from Line 225, Col 6.</v>
      </c>
      <c r="C144" s="812"/>
      <c r="D144" s="812"/>
      <c r="E144" s="812"/>
      <c r="F144" s="812"/>
      <c r="G144" s="812"/>
      <c r="H144" s="812"/>
      <c r="I144" s="812"/>
      <c r="J144" s="812"/>
      <c r="K144" s="812"/>
    </row>
    <row r="145" spans="2:11" ht="15" customHeight="1">
      <c r="B145" s="815" t="s">
        <v>1491</v>
      </c>
      <c r="C145" s="815"/>
      <c r="D145" s="815"/>
      <c r="E145" s="815"/>
      <c r="F145" s="815"/>
      <c r="G145" s="815"/>
      <c r="H145" s="815"/>
      <c r="I145" s="815"/>
      <c r="J145" s="815"/>
      <c r="K145" s="815"/>
    </row>
    <row r="146" spans="2:11">
      <c r="B146" s="811" t="s">
        <v>1443</v>
      </c>
      <c r="C146" s="811"/>
      <c r="D146" s="811"/>
      <c r="E146" s="811"/>
      <c r="F146" s="811"/>
      <c r="G146" s="811"/>
      <c r="H146" s="811"/>
      <c r="I146" s="811"/>
      <c r="J146" s="811"/>
      <c r="K146" s="811"/>
    </row>
  </sheetData>
  <mergeCells count="22">
    <mergeCell ref="B99:K99"/>
    <mergeCell ref="B6:K6"/>
    <mergeCell ref="B7:K7"/>
    <mergeCell ref="B31:K32"/>
    <mergeCell ref="B33:K33"/>
    <mergeCell ref="B72:K73"/>
    <mergeCell ref="B133:K133"/>
    <mergeCell ref="B145:K145"/>
    <mergeCell ref="B146:K146"/>
    <mergeCell ref="B100:K100"/>
    <mergeCell ref="B124:K125"/>
    <mergeCell ref="B126:K126"/>
    <mergeCell ref="B129:K130"/>
    <mergeCell ref="B144:K144"/>
    <mergeCell ref="B141:K141"/>
    <mergeCell ref="B142:K143"/>
    <mergeCell ref="B138:K139"/>
    <mergeCell ref="B136:K136"/>
    <mergeCell ref="B137:K137"/>
    <mergeCell ref="B140:K140"/>
    <mergeCell ref="B131:K132"/>
    <mergeCell ref="B134:K135"/>
  </mergeCells>
  <printOptions horizontalCentered="1"/>
  <pageMargins left="1" right="1" top="1" bottom="1" header="0.5" footer="0.5"/>
  <pageSetup scale="61" fitToHeight="0" orientation="landscape" r:id="rId1"/>
  <headerFooter>
    <oddHeader xml:space="preserve">&amp;C&amp;"-,Bold"Pacific Gas and Electric Company
Formula Rate Model
Schedule &amp;A&amp;R&amp;10Docket No. ER19-13-000, et al- Annual Update RY2024
&amp;F
</oddHeader>
  </headerFooter>
  <rowBreaks count="1" manualBreakCount="1">
    <brk id="95" max="11"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40"/>
  <sheetViews>
    <sheetView tabSelected="1" view="pageBreakPreview" zoomScale="55" zoomScaleNormal="85" zoomScaleSheetLayoutView="55" zoomScalePageLayoutView="90" workbookViewId="0">
      <selection activeCell="P108" sqref="P108"/>
    </sheetView>
  </sheetViews>
  <sheetFormatPr defaultColWidth="8.81640625" defaultRowHeight="14.5"/>
  <cols>
    <col min="1" max="1" width="4.54296875" style="69" bestFit="1" customWidth="1"/>
    <col min="2" max="2" width="63.453125" style="69" bestFit="1" customWidth="1"/>
    <col min="3" max="3" width="4.54296875" style="69" customWidth="1"/>
    <col min="4" max="4" width="16.54296875" style="69" bestFit="1" customWidth="1"/>
    <col min="5" max="5" width="29.7265625" style="69" customWidth="1"/>
    <col min="6" max="6" width="29.1796875" style="69" customWidth="1"/>
    <col min="7" max="7" width="4.54296875" style="69" bestFit="1" customWidth="1"/>
    <col min="8" max="8" width="8.81640625" style="69"/>
    <col min="9" max="9" width="12.1796875" style="69" bestFit="1" customWidth="1"/>
    <col min="10" max="10" width="7.1796875" style="69" bestFit="1" customWidth="1"/>
    <col min="11" max="11" width="10.54296875" style="69" bestFit="1" customWidth="1"/>
    <col min="12" max="22" width="14.54296875" style="69" customWidth="1"/>
    <col min="23" max="16384" width="8.81640625" style="69"/>
  </cols>
  <sheetData>
    <row r="1" spans="1:22">
      <c r="B1" s="14" t="s">
        <v>247</v>
      </c>
      <c r="E1" s="15"/>
      <c r="F1" s="15" t="str">
        <f>CONCATENATE("Prior Year: ",'1-BaseTRR'!$F$2)</f>
        <v>Prior Year: 2022</v>
      </c>
    </row>
    <row r="2" spans="1:22">
      <c r="B2" s="70"/>
    </row>
    <row r="3" spans="1:22">
      <c r="B3" s="52" t="s">
        <v>248</v>
      </c>
      <c r="C3" s="53"/>
      <c r="D3" s="54"/>
      <c r="E3" s="54"/>
      <c r="F3" s="54"/>
    </row>
    <row r="4" spans="1:22">
      <c r="A4" s="13" t="s">
        <v>124</v>
      </c>
      <c r="B4" s="13" t="s">
        <v>129</v>
      </c>
      <c r="C4"/>
      <c r="D4" s="13" t="s">
        <v>80</v>
      </c>
      <c r="E4" s="13" t="s">
        <v>54</v>
      </c>
      <c r="F4" s="13" t="s">
        <v>11</v>
      </c>
      <c r="G4" s="13" t="str">
        <f>A4</f>
        <v>Line</v>
      </c>
    </row>
    <row r="5" spans="1:22">
      <c r="B5" s="71" t="s">
        <v>249</v>
      </c>
      <c r="I5" s="72"/>
      <c r="J5" s="73"/>
      <c r="K5" s="74"/>
      <c r="L5" s="75"/>
      <c r="M5" s="75"/>
      <c r="N5" s="75"/>
      <c r="O5" s="75"/>
      <c r="P5" s="75"/>
      <c r="Q5" s="75"/>
      <c r="R5" s="75"/>
      <c r="S5" s="75"/>
      <c r="T5" s="75"/>
      <c r="U5" s="75"/>
      <c r="V5" s="75"/>
    </row>
    <row r="6" spans="1:22">
      <c r="A6" s="76">
        <v>100</v>
      </c>
      <c r="B6" s="69" t="s">
        <v>250</v>
      </c>
      <c r="D6" s="22">
        <f>'5-CostofCap-2'!P13</f>
        <v>35115164558.610001</v>
      </c>
      <c r="E6" s="78" t="s">
        <v>1652</v>
      </c>
      <c r="F6" s="69" t="s">
        <v>1456</v>
      </c>
      <c r="G6" s="76">
        <f>A6</f>
        <v>100</v>
      </c>
      <c r="I6" s="79"/>
      <c r="J6" s="80"/>
      <c r="K6" s="79"/>
      <c r="L6" s="81"/>
      <c r="M6" s="81"/>
      <c r="N6" s="81"/>
      <c r="O6" s="81"/>
      <c r="P6" s="81"/>
      <c r="Q6" s="81"/>
      <c r="R6" s="81"/>
      <c r="S6" s="81"/>
      <c r="T6" s="81"/>
      <c r="U6" s="81"/>
      <c r="V6" s="81"/>
    </row>
    <row r="7" spans="1:22">
      <c r="A7" s="76">
        <f>A6+1</f>
        <v>101</v>
      </c>
      <c r="B7" s="69" t="s">
        <v>251</v>
      </c>
      <c r="D7" s="456">
        <f>-'5-CostofCap-2'!P15</f>
        <v>0</v>
      </c>
      <c r="E7" s="78" t="s">
        <v>1653</v>
      </c>
      <c r="F7" s="69" t="s">
        <v>1647</v>
      </c>
      <c r="G7" s="76">
        <f t="shared" ref="G7:G30" si="0">A7</f>
        <v>101</v>
      </c>
      <c r="I7" s="79"/>
      <c r="J7" s="82"/>
      <c r="K7" s="83"/>
      <c r="L7" s="81"/>
      <c r="M7" s="81"/>
      <c r="N7" s="81"/>
      <c r="O7" s="81"/>
      <c r="P7" s="81"/>
      <c r="Q7" s="81"/>
      <c r="R7" s="81"/>
      <c r="S7" s="81"/>
      <c r="T7" s="81"/>
      <c r="U7" s="81"/>
      <c r="V7" s="81"/>
    </row>
    <row r="8" spans="1:22">
      <c r="A8" s="76">
        <f t="shared" ref="A8:A16" si="1">A7+1</f>
        <v>102</v>
      </c>
      <c r="B8" s="69" t="s">
        <v>252</v>
      </c>
      <c r="D8" s="457">
        <f>'5-CostofCap-2'!P17</f>
        <v>9093909854.1399994</v>
      </c>
      <c r="E8" s="78" t="s">
        <v>1654</v>
      </c>
      <c r="F8" s="69" t="s">
        <v>1456</v>
      </c>
      <c r="G8" s="76">
        <f t="shared" si="0"/>
        <v>102</v>
      </c>
      <c r="H8" s="70"/>
      <c r="I8" s="79"/>
      <c r="J8" s="82"/>
      <c r="K8" s="83"/>
      <c r="L8" s="81"/>
      <c r="M8" s="81"/>
      <c r="N8" s="81"/>
      <c r="O8" s="81"/>
      <c r="P8" s="81"/>
      <c r="Q8" s="81"/>
      <c r="R8" s="81"/>
      <c r="S8" s="81"/>
      <c r="T8" s="81"/>
      <c r="U8" s="81"/>
      <c r="V8" s="81"/>
    </row>
    <row r="9" spans="1:22">
      <c r="A9" s="76">
        <f t="shared" si="1"/>
        <v>103</v>
      </c>
      <c r="B9" s="69" t="s">
        <v>253</v>
      </c>
      <c r="D9" s="457">
        <f>'5-CostofCap-2'!P19</f>
        <v>0</v>
      </c>
      <c r="E9" s="78" t="s">
        <v>1655</v>
      </c>
      <c r="F9" s="69" t="s">
        <v>1456</v>
      </c>
      <c r="G9" s="76">
        <f t="shared" si="0"/>
        <v>103</v>
      </c>
      <c r="I9" s="79"/>
      <c r="J9" s="82"/>
      <c r="K9" s="83"/>
      <c r="L9" s="81"/>
      <c r="M9" s="81"/>
      <c r="N9" s="81"/>
      <c r="O9" s="81"/>
      <c r="P9" s="81"/>
      <c r="Q9" s="81"/>
      <c r="R9" s="81"/>
      <c r="S9" s="81"/>
      <c r="T9" s="81"/>
      <c r="U9" s="81"/>
      <c r="V9" s="81"/>
    </row>
    <row r="10" spans="1:22">
      <c r="A10" s="76">
        <f t="shared" si="1"/>
        <v>104</v>
      </c>
      <c r="B10" s="69" t="s">
        <v>254</v>
      </c>
      <c r="D10" s="457">
        <f>'5-CostofCap-2'!P21</f>
        <v>4903467.6900000004</v>
      </c>
      <c r="E10" s="78" t="s">
        <v>1656</v>
      </c>
      <c r="F10" s="69" t="s">
        <v>1456</v>
      </c>
      <c r="G10" s="76">
        <f t="shared" si="0"/>
        <v>104</v>
      </c>
      <c r="I10" s="84"/>
      <c r="J10" s="85"/>
      <c r="K10" s="81"/>
      <c r="L10" s="81"/>
      <c r="M10" s="81"/>
      <c r="N10" s="81"/>
      <c r="O10" s="81"/>
      <c r="P10" s="81"/>
      <c r="Q10" s="81"/>
      <c r="R10" s="81"/>
      <c r="S10" s="81"/>
      <c r="T10" s="81"/>
      <c r="U10" s="81"/>
      <c r="V10" s="81"/>
    </row>
    <row r="11" spans="1:22">
      <c r="A11" s="76">
        <f t="shared" si="1"/>
        <v>105</v>
      </c>
      <c r="B11" s="69" t="s">
        <v>255</v>
      </c>
      <c r="D11" s="457">
        <f>-'5-CostofCap-2'!P23</f>
        <v>-30251169.41</v>
      </c>
      <c r="E11" s="78" t="s">
        <v>1657</v>
      </c>
      <c r="F11" s="69" t="s">
        <v>1647</v>
      </c>
      <c r="G11" s="76">
        <f t="shared" si="0"/>
        <v>105</v>
      </c>
      <c r="I11" s="81"/>
      <c r="J11" s="81"/>
      <c r="K11" s="81"/>
      <c r="L11" s="81"/>
      <c r="M11" s="81"/>
      <c r="N11" s="81"/>
      <c r="O11" s="81"/>
      <c r="P11" s="81"/>
      <c r="Q11" s="81"/>
      <c r="R11" s="81"/>
      <c r="S11" s="81"/>
      <c r="T11" s="81"/>
      <c r="U11" s="81"/>
      <c r="V11" s="81"/>
    </row>
    <row r="12" spans="1:22">
      <c r="A12" s="76">
        <f t="shared" si="1"/>
        <v>106</v>
      </c>
      <c r="B12" s="69" t="s">
        <v>256</v>
      </c>
      <c r="D12" s="457">
        <f>-'5-CostofCap-2'!P25</f>
        <v>-193762954.90000001</v>
      </c>
      <c r="E12" s="78" t="s">
        <v>1658</v>
      </c>
      <c r="F12" s="69" t="s">
        <v>1647</v>
      </c>
      <c r="G12" s="76">
        <f t="shared" si="0"/>
        <v>106</v>
      </c>
      <c r="I12" s="81"/>
      <c r="J12" s="81"/>
      <c r="K12" s="81"/>
      <c r="L12" s="81"/>
      <c r="M12" s="81"/>
      <c r="N12" s="81"/>
      <c r="O12" s="81"/>
      <c r="P12" s="81"/>
      <c r="Q12" s="81"/>
      <c r="R12" s="81"/>
      <c r="S12" s="81"/>
      <c r="T12" s="81"/>
      <c r="U12" s="81"/>
      <c r="V12" s="81"/>
    </row>
    <row r="13" spans="1:22">
      <c r="A13" s="76">
        <f t="shared" si="1"/>
        <v>107</v>
      </c>
      <c r="B13" s="69" t="s">
        <v>257</v>
      </c>
      <c r="D13" s="457">
        <f>-'5-CostofCap-2'!P27</f>
        <v>-36721574.009999998</v>
      </c>
      <c r="E13" s="78" t="s">
        <v>1659</v>
      </c>
      <c r="F13" s="69" t="s">
        <v>1647</v>
      </c>
      <c r="G13" s="76">
        <f t="shared" si="0"/>
        <v>107</v>
      </c>
      <c r="I13" s="81"/>
      <c r="J13" s="81"/>
      <c r="K13" s="81"/>
      <c r="L13" s="81"/>
      <c r="M13" s="81"/>
      <c r="N13" s="81"/>
      <c r="O13" s="81"/>
      <c r="P13" s="81"/>
      <c r="Q13" s="81"/>
      <c r="R13" s="81"/>
      <c r="S13" s="81"/>
      <c r="T13" s="81"/>
      <c r="U13" s="81"/>
      <c r="V13" s="81"/>
    </row>
    <row r="14" spans="1:22">
      <c r="A14" s="76">
        <f t="shared" si="1"/>
        <v>108</v>
      </c>
      <c r="B14" s="69" t="s">
        <v>58</v>
      </c>
      <c r="D14" s="409">
        <f>'1-BaseTRR'!D99</f>
        <v>0.27983599999999997</v>
      </c>
      <c r="E14" s="78" t="s">
        <v>1041</v>
      </c>
      <c r="G14" s="76">
        <f t="shared" si="0"/>
        <v>108</v>
      </c>
      <c r="I14" s="81"/>
      <c r="J14" s="81"/>
      <c r="K14" s="81"/>
      <c r="L14" s="81"/>
      <c r="M14" s="81"/>
      <c r="N14" s="81"/>
      <c r="O14" s="81"/>
      <c r="P14" s="81"/>
      <c r="Q14" s="81"/>
      <c r="R14" s="81"/>
      <c r="S14" s="81"/>
      <c r="T14" s="81"/>
      <c r="U14" s="81"/>
      <c r="V14" s="81"/>
    </row>
    <row r="15" spans="1:22">
      <c r="A15" s="76">
        <f t="shared" si="1"/>
        <v>109</v>
      </c>
      <c r="B15" s="69" t="s">
        <v>258</v>
      </c>
      <c r="D15" s="458">
        <f>+D13*(1-D14)</f>
        <v>-26445555.625337638</v>
      </c>
      <c r="E15" s="78" t="s">
        <v>1042</v>
      </c>
      <c r="G15" s="76">
        <f t="shared" si="0"/>
        <v>109</v>
      </c>
      <c r="I15" s="81"/>
      <c r="J15" s="81"/>
      <c r="K15" s="81"/>
      <c r="L15" s="81"/>
      <c r="M15" s="81"/>
      <c r="N15" s="81"/>
      <c r="O15" s="81"/>
      <c r="P15" s="81"/>
      <c r="Q15" s="81"/>
      <c r="R15" s="81"/>
      <c r="S15" s="81"/>
      <c r="T15" s="81"/>
      <c r="U15" s="81"/>
      <c r="V15" s="81"/>
    </row>
    <row r="16" spans="1:22">
      <c r="A16" s="76">
        <f t="shared" si="1"/>
        <v>110</v>
      </c>
      <c r="B16" s="798" t="s">
        <v>31</v>
      </c>
      <c r="D16" s="68">
        <f>+SUM(D6:D12,D15:D15)</f>
        <v>43963518200.504662</v>
      </c>
      <c r="E16" s="78" t="s">
        <v>1043</v>
      </c>
      <c r="G16" s="76">
        <f t="shared" si="0"/>
        <v>110</v>
      </c>
    </row>
    <row r="17" spans="1:22">
      <c r="D17" s="86"/>
      <c r="E17" s="78"/>
      <c r="G17" s="76"/>
    </row>
    <row r="18" spans="1:22">
      <c r="B18" s="71" t="s">
        <v>259</v>
      </c>
      <c r="D18" s="86"/>
      <c r="E18" s="78"/>
      <c r="G18" s="76"/>
    </row>
    <row r="19" spans="1:22">
      <c r="A19" s="76">
        <f>A16+1</f>
        <v>111</v>
      </c>
      <c r="B19" s="69" t="s">
        <v>260</v>
      </c>
      <c r="D19" s="22">
        <f>'5-CostofCap-2'!P29</f>
        <v>257994575</v>
      </c>
      <c r="E19" s="78" t="s">
        <v>1660</v>
      </c>
      <c r="F19" s="69" t="s">
        <v>1456</v>
      </c>
      <c r="G19" s="76">
        <f t="shared" si="0"/>
        <v>111</v>
      </c>
      <c r="I19" s="81"/>
      <c r="K19" s="81"/>
      <c r="L19" s="81"/>
      <c r="M19" s="81"/>
      <c r="N19" s="81"/>
      <c r="O19" s="81"/>
      <c r="P19" s="81"/>
      <c r="Q19" s="81"/>
      <c r="R19" s="81"/>
      <c r="S19" s="81"/>
      <c r="T19" s="81"/>
      <c r="U19" s="81"/>
      <c r="V19" s="81"/>
    </row>
    <row r="20" spans="1:22">
      <c r="A20" s="76">
        <f>A19+1</f>
        <v>112</v>
      </c>
      <c r="B20" s="69" t="s">
        <v>261</v>
      </c>
      <c r="D20" s="32">
        <f>'5-CostofCap-2'!P31</f>
        <v>-5940274.6799999997</v>
      </c>
      <c r="E20" s="78" t="s">
        <v>1661</v>
      </c>
      <c r="F20" s="69" t="s">
        <v>1456</v>
      </c>
      <c r="G20" s="76">
        <f t="shared" si="0"/>
        <v>112</v>
      </c>
      <c r="I20" s="81"/>
      <c r="K20" s="81"/>
      <c r="L20" s="81"/>
      <c r="M20" s="81"/>
      <c r="N20" s="81"/>
      <c r="O20" s="81"/>
      <c r="P20" s="81"/>
      <c r="Q20" s="81"/>
      <c r="R20" s="81"/>
      <c r="S20" s="81"/>
      <c r="T20" s="81"/>
      <c r="U20" s="81"/>
      <c r="V20" s="81"/>
    </row>
    <row r="21" spans="1:22">
      <c r="A21" s="76">
        <f t="shared" ref="A21:A22" si="2">A20+1</f>
        <v>113</v>
      </c>
      <c r="B21" s="69" t="s">
        <v>262</v>
      </c>
      <c r="D21" s="26">
        <f>'5-CostofCap-2'!P33</f>
        <v>0</v>
      </c>
      <c r="E21" s="78" t="s">
        <v>1662</v>
      </c>
      <c r="F21" s="69" t="s">
        <v>1456</v>
      </c>
      <c r="G21" s="76">
        <f t="shared" si="0"/>
        <v>113</v>
      </c>
      <c r="I21" s="81"/>
      <c r="K21" s="81"/>
      <c r="L21" s="81"/>
      <c r="M21" s="81"/>
      <c r="N21" s="81"/>
      <c r="O21" s="81"/>
      <c r="P21" s="81"/>
      <c r="Q21" s="81"/>
      <c r="R21" s="81"/>
      <c r="S21" s="81"/>
      <c r="T21" s="81"/>
      <c r="U21" s="81"/>
      <c r="V21" s="81"/>
    </row>
    <row r="22" spans="1:22">
      <c r="A22" s="76">
        <f t="shared" si="2"/>
        <v>114</v>
      </c>
      <c r="B22" s="798" t="s">
        <v>35</v>
      </c>
      <c r="D22" s="68">
        <f>SUM(D19:D21)</f>
        <v>252054300.31999999</v>
      </c>
      <c r="E22" s="78" t="s">
        <v>1044</v>
      </c>
      <c r="G22" s="76">
        <f t="shared" si="0"/>
        <v>114</v>
      </c>
    </row>
    <row r="23" spans="1:22">
      <c r="A23" s="76"/>
      <c r="D23" s="77"/>
      <c r="E23" s="78"/>
      <c r="G23" s="76"/>
    </row>
    <row r="24" spans="1:22">
      <c r="B24" s="71" t="s">
        <v>263</v>
      </c>
      <c r="D24" s="77"/>
      <c r="E24" s="78"/>
      <c r="F24" s="87"/>
      <c r="G24" s="76"/>
    </row>
    <row r="25" spans="1:22">
      <c r="A25" s="76">
        <f>+A22+1</f>
        <v>115</v>
      </c>
      <c r="B25" s="69" t="s">
        <v>264</v>
      </c>
      <c r="D25" s="22">
        <f>'5-CostofCap-2'!P35</f>
        <v>30729450876.380001</v>
      </c>
      <c r="E25" s="78" t="s">
        <v>1663</v>
      </c>
      <c r="F25" s="69" t="s">
        <v>1456</v>
      </c>
      <c r="G25" s="76">
        <f t="shared" si="0"/>
        <v>115</v>
      </c>
      <c r="I25" s="81"/>
      <c r="J25" s="81"/>
      <c r="K25" s="81"/>
      <c r="L25" s="81"/>
      <c r="M25" s="81"/>
      <c r="N25" s="81"/>
      <c r="O25" s="81"/>
      <c r="P25" s="81"/>
      <c r="Q25" s="81"/>
      <c r="R25" s="81"/>
      <c r="S25" s="81"/>
      <c r="T25" s="81"/>
      <c r="U25" s="81"/>
      <c r="V25" s="81"/>
    </row>
    <row r="26" spans="1:22">
      <c r="A26" s="76">
        <f>A25+1</f>
        <v>116</v>
      </c>
      <c r="B26" s="69" t="s">
        <v>265</v>
      </c>
      <c r="D26" s="32">
        <f>-D22</f>
        <v>-252054300.31999999</v>
      </c>
      <c r="E26" s="78" t="s">
        <v>1045</v>
      </c>
      <c r="F26" s="69" t="s">
        <v>1648</v>
      </c>
      <c r="G26" s="76">
        <f t="shared" si="0"/>
        <v>116</v>
      </c>
      <c r="I26" s="81"/>
      <c r="J26" s="81"/>
      <c r="K26" s="81"/>
      <c r="L26" s="81"/>
      <c r="M26" s="81"/>
      <c r="N26" s="81"/>
      <c r="O26" s="81"/>
      <c r="P26" s="81"/>
      <c r="Q26" s="81"/>
      <c r="R26" s="81"/>
      <c r="S26" s="81"/>
      <c r="T26" s="81"/>
      <c r="U26" s="81"/>
      <c r="V26" s="81"/>
    </row>
    <row r="27" spans="1:22">
      <c r="A27" s="76">
        <f t="shared" ref="A27:A29" si="3">A26+1</f>
        <v>117</v>
      </c>
      <c r="B27" s="69" t="s">
        <v>266</v>
      </c>
      <c r="D27" s="32">
        <f>-D21</f>
        <v>0</v>
      </c>
      <c r="E27" s="78" t="s">
        <v>1046</v>
      </c>
      <c r="F27" s="69" t="s">
        <v>1649</v>
      </c>
      <c r="G27" s="76">
        <f t="shared" si="0"/>
        <v>117</v>
      </c>
      <c r="I27" s="81"/>
      <c r="J27" s="81"/>
      <c r="K27" s="81"/>
      <c r="L27" s="81"/>
      <c r="M27" s="81"/>
      <c r="N27" s="81"/>
      <c r="O27" s="81"/>
      <c r="P27" s="81"/>
      <c r="Q27" s="81"/>
      <c r="R27" s="81"/>
      <c r="S27" s="81"/>
      <c r="T27" s="81"/>
      <c r="U27" s="81"/>
      <c r="V27" s="81"/>
    </row>
    <row r="28" spans="1:22">
      <c r="A28" s="76">
        <f t="shared" si="3"/>
        <v>118</v>
      </c>
      <c r="B28" s="69" t="s">
        <v>267</v>
      </c>
      <c r="D28" s="456">
        <f>-'5-CostofCap-2'!P37</f>
        <v>-838890206.95000005</v>
      </c>
      <c r="E28" s="78" t="s">
        <v>1664</v>
      </c>
      <c r="F28" s="69" t="s">
        <v>1650</v>
      </c>
      <c r="G28" s="76">
        <f t="shared" si="0"/>
        <v>118</v>
      </c>
      <c r="I28" s="81"/>
      <c r="J28" s="81"/>
      <c r="K28" s="81"/>
      <c r="L28" s="81"/>
      <c r="M28" s="81"/>
      <c r="N28" s="81"/>
      <c r="O28" s="81"/>
      <c r="P28" s="81"/>
      <c r="Q28" s="81"/>
      <c r="R28" s="81"/>
      <c r="S28" s="81"/>
      <c r="T28" s="81"/>
      <c r="U28" s="81"/>
      <c r="V28" s="81"/>
    </row>
    <row r="29" spans="1:22">
      <c r="A29" s="76">
        <f t="shared" si="3"/>
        <v>119</v>
      </c>
      <c r="B29" s="69" t="s">
        <v>268</v>
      </c>
      <c r="D29" s="667">
        <f>-'5-CostofCap-2'!P39</f>
        <v>8166262.3200000003</v>
      </c>
      <c r="E29" s="78" t="s">
        <v>1665</v>
      </c>
      <c r="F29" s="69" t="s">
        <v>1650</v>
      </c>
      <c r="G29" s="76">
        <f t="shared" si="0"/>
        <v>119</v>
      </c>
      <c r="I29" s="81"/>
      <c r="J29" s="81"/>
      <c r="K29" s="81"/>
      <c r="L29" s="81"/>
      <c r="M29" s="81"/>
      <c r="N29" s="81"/>
      <c r="O29" s="81"/>
      <c r="P29" s="81"/>
      <c r="Q29" s="81"/>
      <c r="R29" s="81"/>
      <c r="S29" s="81"/>
      <c r="T29" s="81"/>
      <c r="U29" s="81"/>
      <c r="V29" s="81"/>
    </row>
    <row r="30" spans="1:22">
      <c r="A30" s="76">
        <f>A29+1</f>
        <v>120</v>
      </c>
      <c r="B30" s="90" t="s">
        <v>39</v>
      </c>
      <c r="D30" s="68">
        <f>SUM(D25:D29)</f>
        <v>29646672631.43</v>
      </c>
      <c r="E30" s="78" t="s">
        <v>1047</v>
      </c>
      <c r="G30" s="76">
        <f t="shared" si="0"/>
        <v>120</v>
      </c>
    </row>
    <row r="31" spans="1:22">
      <c r="B31" s="88"/>
    </row>
    <row r="36" spans="2:2">
      <c r="B36" s="89"/>
    </row>
    <row r="38" spans="2:2">
      <c r="B38" s="78"/>
    </row>
    <row r="40" spans="2:2">
      <c r="B40" s="78"/>
    </row>
  </sheetData>
  <printOptions horizontalCentered="1"/>
  <pageMargins left="1" right="1" top="1" bottom="1" header="0.5" footer="0.5"/>
  <pageSetup scale="7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57"/>
  <sheetViews>
    <sheetView tabSelected="1" view="pageBreakPreview" zoomScale="55" zoomScaleNormal="70" zoomScaleSheetLayoutView="55" zoomScalePageLayoutView="55" workbookViewId="0">
      <selection activeCell="P108" sqref="P108"/>
    </sheetView>
  </sheetViews>
  <sheetFormatPr defaultColWidth="8.81640625" defaultRowHeight="14.5"/>
  <cols>
    <col min="1" max="1" width="6.81640625" style="69" bestFit="1" customWidth="1"/>
    <col min="2" max="2" width="28.1796875" style="69" customWidth="1"/>
    <col min="3" max="3" width="21.453125" style="69" bestFit="1" customWidth="1"/>
    <col min="4" max="4" width="20.7265625" style="69" customWidth="1"/>
    <col min="5" max="6" width="18.81640625" style="69" bestFit="1" customWidth="1"/>
    <col min="7" max="7" width="20" style="69" customWidth="1"/>
    <col min="8" max="8" width="20.1796875" style="69" customWidth="1"/>
    <col min="9" max="9" width="19.453125" style="69" customWidth="1"/>
    <col min="10" max="10" width="21.81640625" style="69" customWidth="1"/>
    <col min="11" max="11" width="20.453125" style="69" customWidth="1"/>
    <col min="12" max="12" width="20.1796875" style="69" customWidth="1"/>
    <col min="13" max="13" width="18.54296875" style="69" bestFit="1" customWidth="1"/>
    <col min="14" max="15" width="18.81640625" style="69" bestFit="1" customWidth="1"/>
    <col min="16" max="16" width="18.81640625" style="69" customWidth="1"/>
    <col min="17" max="17" width="6.81640625" style="69" bestFit="1" customWidth="1"/>
    <col min="18" max="16384" width="8.81640625" style="69"/>
  </cols>
  <sheetData>
    <row r="1" spans="1:17">
      <c r="B1" s="90" t="s">
        <v>269</v>
      </c>
      <c r="O1" s="15"/>
      <c r="P1" s="15" t="str">
        <f>CONCATENATE("Prior Year: ",'1-BaseTRR'!$F$2)</f>
        <v>Prior Year: 2022</v>
      </c>
    </row>
    <row r="2" spans="1:17">
      <c r="B2" s="46" t="s">
        <v>196</v>
      </c>
      <c r="C2" s="91"/>
      <c r="D2" s="91"/>
      <c r="O2" s="15"/>
    </row>
    <row r="3" spans="1:17">
      <c r="B3" s="12"/>
    </row>
    <row r="4" spans="1:17">
      <c r="A4" s="76"/>
      <c r="B4" s="88" t="s">
        <v>135</v>
      </c>
      <c r="C4" s="81"/>
      <c r="D4" s="81"/>
      <c r="E4" s="81"/>
      <c r="F4" s="81"/>
      <c r="G4" s="81"/>
      <c r="H4" s="81"/>
      <c r="I4" s="81"/>
      <c r="J4" s="81"/>
      <c r="K4" s="81"/>
      <c r="L4" s="81"/>
      <c r="M4" s="81"/>
      <c r="N4" s="81"/>
      <c r="O4" s="81"/>
      <c r="P4" s="81"/>
    </row>
    <row r="5" spans="1:17">
      <c r="A5" s="76"/>
      <c r="B5" s="817" t="s">
        <v>270</v>
      </c>
      <c r="C5" s="817"/>
      <c r="D5" s="817"/>
      <c r="E5" s="817"/>
      <c r="F5" s="817"/>
      <c r="G5" s="817"/>
      <c r="H5" s="817"/>
      <c r="I5" s="817"/>
      <c r="J5" s="817"/>
      <c r="K5" s="817"/>
      <c r="L5" s="817"/>
      <c r="M5" s="817"/>
      <c r="N5" s="817"/>
      <c r="O5" s="817"/>
      <c r="P5" s="817"/>
    </row>
    <row r="6" spans="1:17">
      <c r="A6" s="76"/>
      <c r="B6" s="78"/>
      <c r="C6" s="81"/>
      <c r="D6" s="81"/>
      <c r="E6" s="81"/>
      <c r="F6" s="81"/>
      <c r="G6" s="81"/>
      <c r="H6" s="81"/>
      <c r="I6" s="81"/>
      <c r="J6" s="81"/>
      <c r="K6" s="81"/>
      <c r="L6" s="81"/>
      <c r="M6" s="81"/>
      <c r="N6" s="81"/>
      <c r="O6" s="81"/>
      <c r="P6" s="81"/>
    </row>
    <row r="7" spans="1:17">
      <c r="B7" s="12"/>
    </row>
    <row r="8" spans="1:17">
      <c r="C8" s="92" t="s">
        <v>100</v>
      </c>
      <c r="D8" s="92" t="s">
        <v>101</v>
      </c>
      <c r="E8" s="92" t="s">
        <v>102</v>
      </c>
      <c r="F8" s="92" t="s">
        <v>103</v>
      </c>
      <c r="G8" s="92" t="s">
        <v>104</v>
      </c>
      <c r="H8" s="92" t="s">
        <v>105</v>
      </c>
      <c r="I8" s="92" t="s">
        <v>106</v>
      </c>
      <c r="J8" s="92" t="s">
        <v>107</v>
      </c>
      <c r="K8" s="92" t="s">
        <v>108</v>
      </c>
      <c r="L8" s="92" t="s">
        <v>271</v>
      </c>
      <c r="M8" s="92" t="s">
        <v>272</v>
      </c>
      <c r="N8" s="92" t="s">
        <v>273</v>
      </c>
      <c r="O8" s="92" t="s">
        <v>274</v>
      </c>
      <c r="P8" s="92" t="s">
        <v>275</v>
      </c>
    </row>
    <row r="9" spans="1:17">
      <c r="C9" s="93" t="s">
        <v>276</v>
      </c>
      <c r="D9" s="94" t="s">
        <v>113</v>
      </c>
      <c r="E9" s="75" t="s">
        <v>114</v>
      </c>
      <c r="F9" s="75" t="s">
        <v>115</v>
      </c>
      <c r="G9" s="75" t="s">
        <v>116</v>
      </c>
      <c r="H9" s="75" t="s">
        <v>117</v>
      </c>
      <c r="I9" s="75" t="s">
        <v>90</v>
      </c>
      <c r="J9" s="75" t="s">
        <v>277</v>
      </c>
      <c r="K9" s="75" t="s">
        <v>119</v>
      </c>
      <c r="L9" s="75" t="s">
        <v>120</v>
      </c>
      <c r="M9" s="75" t="s">
        <v>121</v>
      </c>
      <c r="N9" s="75" t="s">
        <v>122</v>
      </c>
      <c r="O9" s="75" t="s">
        <v>123</v>
      </c>
      <c r="P9" s="75" t="s">
        <v>113</v>
      </c>
    </row>
    <row r="10" spans="1:17">
      <c r="A10" s="95"/>
      <c r="B10" s="95"/>
      <c r="C10" s="75" t="s">
        <v>278</v>
      </c>
      <c r="D10" s="75">
        <f>'1-BaseTRR'!F2-1</f>
        <v>2021</v>
      </c>
      <c r="E10" s="75">
        <f>'1-BaseTRR'!$F$2</f>
        <v>2022</v>
      </c>
      <c r="F10" s="75">
        <f>'1-BaseTRR'!$F$2</f>
        <v>2022</v>
      </c>
      <c r="G10" s="75">
        <f>'1-BaseTRR'!$F$2</f>
        <v>2022</v>
      </c>
      <c r="H10" s="75">
        <f>'1-BaseTRR'!$F$2</f>
        <v>2022</v>
      </c>
      <c r="I10" s="75">
        <f>'1-BaseTRR'!$F$2</f>
        <v>2022</v>
      </c>
      <c r="J10" s="75">
        <f>'1-BaseTRR'!$F$2</f>
        <v>2022</v>
      </c>
      <c r="K10" s="75">
        <f>'1-BaseTRR'!$F$2</f>
        <v>2022</v>
      </c>
      <c r="L10" s="75">
        <f>'1-BaseTRR'!$F$2</f>
        <v>2022</v>
      </c>
      <c r="M10" s="75">
        <f>'1-BaseTRR'!$F$2</f>
        <v>2022</v>
      </c>
      <c r="N10" s="75">
        <f>'1-BaseTRR'!$F$2</f>
        <v>2022</v>
      </c>
      <c r="O10" s="75">
        <f>'1-BaseTRR'!$F$2</f>
        <v>2022</v>
      </c>
      <c r="P10" s="75">
        <f>'1-BaseTRR'!$F$2</f>
        <v>2022</v>
      </c>
    </row>
    <row r="11" spans="1:17">
      <c r="B11" s="96" t="s">
        <v>129</v>
      </c>
      <c r="C11" s="93"/>
      <c r="D11" s="94"/>
      <c r="E11" s="75"/>
      <c r="F11" s="75"/>
      <c r="G11" s="75"/>
      <c r="H11" s="75"/>
      <c r="I11" s="75"/>
      <c r="J11" s="75"/>
      <c r="K11" s="75"/>
      <c r="L11" s="75"/>
      <c r="M11" s="75"/>
      <c r="N11" s="75"/>
      <c r="O11" s="75"/>
      <c r="P11" s="75"/>
    </row>
    <row r="12" spans="1:17">
      <c r="A12" s="13" t="s">
        <v>124</v>
      </c>
      <c r="B12" s="88" t="s">
        <v>279</v>
      </c>
      <c r="D12" s="94"/>
      <c r="E12" s="97"/>
      <c r="F12" s="97"/>
      <c r="G12" s="97"/>
      <c r="H12" s="97"/>
      <c r="I12" s="97"/>
      <c r="J12" s="97"/>
      <c r="K12" s="97"/>
      <c r="L12" s="97"/>
      <c r="M12" s="97"/>
      <c r="N12" s="97"/>
      <c r="O12" s="97"/>
      <c r="P12" s="97"/>
      <c r="Q12" s="13" t="str">
        <f>A12</f>
        <v>Line</v>
      </c>
    </row>
    <row r="13" spans="1:17">
      <c r="A13" s="76">
        <v>100</v>
      </c>
      <c r="B13" s="76"/>
      <c r="C13" s="24">
        <f>SUM(D13:P13)/13</f>
        <v>35902319269.14846</v>
      </c>
      <c r="D13" s="666">
        <v>36443675751.440002</v>
      </c>
      <c r="E13" s="661">
        <v>36443675751.440002</v>
      </c>
      <c r="F13" s="661">
        <v>37701175751.440002</v>
      </c>
      <c r="G13" s="661">
        <v>37402939854</v>
      </c>
      <c r="H13" s="661">
        <v>37802939854</v>
      </c>
      <c r="I13" s="661">
        <v>34802939854</v>
      </c>
      <c r="J13" s="661">
        <v>36302939854</v>
      </c>
      <c r="K13" s="661">
        <v>34802939854</v>
      </c>
      <c r="L13" s="661">
        <v>34802939854</v>
      </c>
      <c r="M13" s="661">
        <v>34802939854</v>
      </c>
      <c r="N13" s="661">
        <v>35152939854</v>
      </c>
      <c r="O13" s="661">
        <v>35152939854</v>
      </c>
      <c r="P13" s="661">
        <v>35115164558.610001</v>
      </c>
      <c r="Q13" s="76">
        <f>A13</f>
        <v>100</v>
      </c>
    </row>
    <row r="14" spans="1:17">
      <c r="A14" s="76"/>
      <c r="B14" s="88" t="s">
        <v>280</v>
      </c>
      <c r="C14" s="86"/>
      <c r="D14" s="86"/>
      <c r="E14" s="86"/>
      <c r="F14" s="86"/>
      <c r="G14" s="86"/>
      <c r="H14" s="86"/>
      <c r="I14" s="86"/>
      <c r="J14" s="86"/>
      <c r="K14" s="86"/>
      <c r="L14" s="86"/>
      <c r="M14" s="86"/>
      <c r="N14" s="86"/>
      <c r="O14" s="86"/>
      <c r="P14" s="86"/>
      <c r="Q14" s="76"/>
    </row>
    <row r="15" spans="1:17">
      <c r="A15" s="76">
        <f>A13+1</f>
        <v>101</v>
      </c>
      <c r="B15" s="32"/>
      <c r="C15" s="24">
        <f>SUM(D15:P15)/13</f>
        <v>0</v>
      </c>
      <c r="D15" s="51">
        <v>0</v>
      </c>
      <c r="E15" s="51">
        <v>0</v>
      </c>
      <c r="F15" s="51">
        <v>0</v>
      </c>
      <c r="G15" s="51">
        <v>0</v>
      </c>
      <c r="H15" s="51">
        <v>0</v>
      </c>
      <c r="I15" s="51">
        <v>0</v>
      </c>
      <c r="J15" s="51">
        <v>0</v>
      </c>
      <c r="K15" s="51">
        <v>0</v>
      </c>
      <c r="L15" s="51">
        <v>0</v>
      </c>
      <c r="M15" s="51">
        <v>0</v>
      </c>
      <c r="N15" s="51">
        <v>0</v>
      </c>
      <c r="O15" s="51">
        <v>0</v>
      </c>
      <c r="P15" s="51">
        <v>0</v>
      </c>
      <c r="Q15" s="76">
        <f>A15</f>
        <v>101</v>
      </c>
    </row>
    <row r="16" spans="1:17">
      <c r="A16" s="76"/>
      <c r="B16" s="88" t="s">
        <v>281</v>
      </c>
      <c r="C16" s="86"/>
      <c r="D16" s="86"/>
      <c r="E16" s="86"/>
      <c r="F16" s="86"/>
      <c r="G16" s="86"/>
      <c r="H16" s="86"/>
      <c r="I16" s="86"/>
      <c r="J16" s="86"/>
      <c r="K16" s="86"/>
      <c r="L16" s="86"/>
      <c r="M16" s="86"/>
      <c r="N16" s="86"/>
      <c r="O16" s="86"/>
      <c r="P16" s="86"/>
      <c r="Q16" s="76"/>
    </row>
    <row r="17" spans="1:17">
      <c r="A17" s="76">
        <f>A15+1</f>
        <v>102</v>
      </c>
      <c r="B17" s="90"/>
      <c r="C17" s="24">
        <f>SUM(D17:P17)/13</f>
        <v>4889765827.218462</v>
      </c>
      <c r="D17" s="51">
        <v>806847382.58000004</v>
      </c>
      <c r="E17" s="51">
        <v>804139960.05999994</v>
      </c>
      <c r="F17" s="51">
        <v>799297829.27999997</v>
      </c>
      <c r="G17" s="51">
        <v>802634526.42999995</v>
      </c>
      <c r="H17" s="51">
        <v>796806395.70000005</v>
      </c>
      <c r="I17" s="51">
        <v>4390497171.5900002</v>
      </c>
      <c r="J17" s="51">
        <v>4346196794.8699999</v>
      </c>
      <c r="K17" s="51">
        <v>8231135641.0100002</v>
      </c>
      <c r="L17" s="51">
        <v>8194596585.6099997</v>
      </c>
      <c r="M17" s="51">
        <v>8163343736.1300001</v>
      </c>
      <c r="N17" s="51">
        <v>8111892351.1800003</v>
      </c>
      <c r="O17" s="51">
        <v>9025657525.2600002</v>
      </c>
      <c r="P17" s="51">
        <v>9093909854.1399994</v>
      </c>
      <c r="Q17" s="76">
        <f>A17</f>
        <v>102</v>
      </c>
    </row>
    <row r="18" spans="1:17">
      <c r="A18" s="76"/>
      <c r="B18" s="88" t="s">
        <v>282</v>
      </c>
      <c r="C18" s="86"/>
      <c r="D18" s="86"/>
      <c r="E18" s="86"/>
      <c r="F18" s="86"/>
      <c r="G18" s="86"/>
      <c r="H18" s="86"/>
      <c r="I18" s="86"/>
      <c r="J18" s="86"/>
      <c r="K18" s="86"/>
      <c r="L18" s="86"/>
      <c r="M18" s="86"/>
      <c r="N18" s="86"/>
      <c r="O18" s="86"/>
      <c r="P18" s="86"/>
      <c r="Q18" s="76"/>
    </row>
    <row r="19" spans="1:17">
      <c r="A19" s="76">
        <f>A17+1</f>
        <v>103</v>
      </c>
      <c r="B19" s="76"/>
      <c r="C19" s="24">
        <f>SUM(D19:P19)/13</f>
        <v>0</v>
      </c>
      <c r="D19" s="51">
        <v>0</v>
      </c>
      <c r="E19" s="51">
        <v>0</v>
      </c>
      <c r="F19" s="51">
        <v>0</v>
      </c>
      <c r="G19" s="51">
        <v>0</v>
      </c>
      <c r="H19" s="51">
        <v>0</v>
      </c>
      <c r="I19" s="51">
        <v>0</v>
      </c>
      <c r="J19" s="51">
        <v>0</v>
      </c>
      <c r="K19" s="51">
        <v>0</v>
      </c>
      <c r="L19" s="51">
        <v>0</v>
      </c>
      <c r="M19" s="51">
        <v>0</v>
      </c>
      <c r="N19" s="51">
        <v>0</v>
      </c>
      <c r="O19" s="51">
        <v>0</v>
      </c>
      <c r="P19" s="51">
        <v>0</v>
      </c>
      <c r="Q19" s="76">
        <f>A19</f>
        <v>103</v>
      </c>
    </row>
    <row r="20" spans="1:17">
      <c r="A20" s="76"/>
      <c r="B20" s="88" t="s">
        <v>283</v>
      </c>
      <c r="C20" s="86"/>
      <c r="D20" s="86"/>
      <c r="E20" s="86"/>
      <c r="F20" s="86"/>
      <c r="G20" s="86"/>
      <c r="H20" s="86"/>
      <c r="I20" s="86"/>
      <c r="J20" s="86"/>
      <c r="K20" s="86"/>
      <c r="L20" s="86"/>
      <c r="M20" s="86"/>
      <c r="N20" s="86"/>
      <c r="O20" s="86"/>
      <c r="P20" s="86"/>
      <c r="Q20" s="76"/>
    </row>
    <row r="21" spans="1:17">
      <c r="A21" s="76">
        <f>A19+1</f>
        <v>104</v>
      </c>
      <c r="C21" s="24">
        <f>SUM(D21:P21)/13</f>
        <v>5194762.7938461546</v>
      </c>
      <c r="D21" s="661">
        <v>5486057.9100000001</v>
      </c>
      <c r="E21" s="661">
        <v>5437508.7199999997</v>
      </c>
      <c r="F21" s="661">
        <v>5388959.54</v>
      </c>
      <c r="G21" s="51">
        <v>5340410.3499999996</v>
      </c>
      <c r="H21" s="51">
        <v>5291861.16</v>
      </c>
      <c r="I21" s="51">
        <v>5243311.9700000007</v>
      </c>
      <c r="J21" s="51">
        <v>5194762.79</v>
      </c>
      <c r="K21" s="51">
        <v>5146213.6000000006</v>
      </c>
      <c r="L21" s="51">
        <v>5097664.42</v>
      </c>
      <c r="M21" s="51">
        <v>5049115.24</v>
      </c>
      <c r="N21" s="51">
        <v>5000566.0600000005</v>
      </c>
      <c r="O21" s="51">
        <v>4952016.87</v>
      </c>
      <c r="P21" s="51">
        <v>4903467.6900000004</v>
      </c>
      <c r="Q21" s="76">
        <f>A21</f>
        <v>104</v>
      </c>
    </row>
    <row r="22" spans="1:17">
      <c r="A22" s="76"/>
      <c r="B22" s="88" t="s">
        <v>284</v>
      </c>
      <c r="C22" s="86"/>
      <c r="D22" s="86"/>
      <c r="E22" s="86"/>
      <c r="F22" s="86"/>
      <c r="G22" s="86"/>
      <c r="H22" s="86"/>
      <c r="I22" s="86"/>
      <c r="J22" s="86"/>
      <c r="K22" s="86"/>
      <c r="L22" s="86"/>
      <c r="M22" s="86"/>
      <c r="N22" s="86"/>
      <c r="O22" s="86"/>
      <c r="P22" s="86"/>
      <c r="Q22" s="76"/>
    </row>
    <row r="23" spans="1:17">
      <c r="A23" s="76">
        <f>A21+1</f>
        <v>105</v>
      </c>
      <c r="B23" s="98"/>
      <c r="C23" s="24">
        <f>SUM(D23:P23)/13</f>
        <v>29798498.705384616</v>
      </c>
      <c r="D23" s="661">
        <v>26193407.199999996</v>
      </c>
      <c r="E23" s="661">
        <v>25988886.029999997</v>
      </c>
      <c r="F23" s="661">
        <v>29773586.27</v>
      </c>
      <c r="G23" s="51">
        <v>29533806.849999998</v>
      </c>
      <c r="H23" s="51">
        <v>29294027.41</v>
      </c>
      <c r="I23" s="51">
        <v>29051109.91</v>
      </c>
      <c r="J23" s="51">
        <v>31909258.82</v>
      </c>
      <c r="K23" s="51">
        <v>31617071.249999996</v>
      </c>
      <c r="L23" s="51">
        <v>31356562.350000001</v>
      </c>
      <c r="M23" s="51">
        <v>31080214.129999999</v>
      </c>
      <c r="N23" s="51">
        <v>30803865.879999999</v>
      </c>
      <c r="O23" s="51">
        <v>30527517.66</v>
      </c>
      <c r="P23" s="51">
        <v>30251169.41</v>
      </c>
      <c r="Q23" s="76">
        <f>A23</f>
        <v>105</v>
      </c>
    </row>
    <row r="24" spans="1:17">
      <c r="B24" s="96" t="s">
        <v>285</v>
      </c>
      <c r="C24" s="86"/>
      <c r="D24" s="86"/>
      <c r="E24" s="86"/>
      <c r="F24" s="86"/>
      <c r="G24" s="86"/>
      <c r="H24" s="86"/>
      <c r="I24" s="86"/>
      <c r="J24" s="86"/>
      <c r="K24" s="86"/>
      <c r="L24" s="86"/>
      <c r="M24" s="86"/>
      <c r="N24" s="86"/>
      <c r="O24" s="86"/>
      <c r="P24" s="86"/>
      <c r="Q24" s="76"/>
    </row>
    <row r="25" spans="1:17">
      <c r="A25" s="76">
        <f>A23+1</f>
        <v>106</v>
      </c>
      <c r="B25" s="90"/>
      <c r="C25" s="805">
        <f>SUM(D25:P25)/13</f>
        <v>200269925.3792308</v>
      </c>
      <c r="D25" s="661">
        <v>197064626.34999999</v>
      </c>
      <c r="E25" s="661">
        <v>194052278.30000001</v>
      </c>
      <c r="F25" s="661">
        <v>208659772.49000001</v>
      </c>
      <c r="G25" s="661">
        <v>205394476.31</v>
      </c>
      <c r="H25" s="661">
        <v>202819656.58000001</v>
      </c>
      <c r="I25" s="661">
        <v>199131626.64000002</v>
      </c>
      <c r="J25" s="661">
        <v>207030959.72</v>
      </c>
      <c r="K25" s="661">
        <v>201426151.04000002</v>
      </c>
      <c r="L25" s="661">
        <v>199088373.02000001</v>
      </c>
      <c r="M25" s="661">
        <v>200915918.95000002</v>
      </c>
      <c r="N25" s="661">
        <v>198203488.60999998</v>
      </c>
      <c r="O25" s="661">
        <v>195958747.02000001</v>
      </c>
      <c r="P25" s="661">
        <v>193762954.90000001</v>
      </c>
      <c r="Q25" s="76">
        <f>A25</f>
        <v>106</v>
      </c>
    </row>
    <row r="26" spans="1:17">
      <c r="A26" s="76"/>
      <c r="B26" s="96" t="s">
        <v>286</v>
      </c>
      <c r="C26" s="86"/>
      <c r="D26" s="86"/>
      <c r="E26" s="86"/>
      <c r="F26" s="86"/>
      <c r="G26" s="86"/>
      <c r="H26" s="86"/>
      <c r="I26" s="86"/>
      <c r="J26" s="86"/>
      <c r="K26" s="86"/>
      <c r="L26" s="86"/>
      <c r="M26" s="86"/>
      <c r="N26" s="86"/>
      <c r="O26" s="86"/>
      <c r="P26" s="86"/>
      <c r="Q26" s="76"/>
    </row>
    <row r="27" spans="1:17">
      <c r="A27" s="76">
        <f>A25+1</f>
        <v>107</v>
      </c>
      <c r="B27" s="98"/>
      <c r="C27" s="24">
        <f>SUM(D27:P27)/13</f>
        <v>43010823.296153851</v>
      </c>
      <c r="D27" s="51">
        <v>49489664.189999998</v>
      </c>
      <c r="E27" s="51">
        <v>48364005.690000013</v>
      </c>
      <c r="F27" s="51">
        <v>47286901.950000003</v>
      </c>
      <c r="G27" s="51">
        <v>46209798.140000001</v>
      </c>
      <c r="H27" s="51">
        <v>45132694.469999999</v>
      </c>
      <c r="I27" s="51">
        <v>44055590.719999999</v>
      </c>
      <c r="J27" s="51">
        <v>42982099.689999998</v>
      </c>
      <c r="K27" s="51">
        <v>41908608.68</v>
      </c>
      <c r="L27" s="51">
        <v>40835117.640000001</v>
      </c>
      <c r="M27" s="51">
        <v>39761626.600000001</v>
      </c>
      <c r="N27" s="51">
        <v>38688135.640000001</v>
      </c>
      <c r="O27" s="51">
        <v>37704885.43</v>
      </c>
      <c r="P27" s="51">
        <v>36721574.009999998</v>
      </c>
      <c r="Q27" s="76">
        <f>A27</f>
        <v>107</v>
      </c>
    </row>
    <row r="28" spans="1:17">
      <c r="B28" s="88" t="s">
        <v>287</v>
      </c>
      <c r="C28" s="86"/>
      <c r="D28" s="86"/>
      <c r="E28" s="86"/>
      <c r="F28" s="86"/>
      <c r="G28" s="86"/>
      <c r="H28" s="86"/>
      <c r="I28" s="86"/>
      <c r="J28" s="86"/>
      <c r="K28" s="86"/>
      <c r="L28" s="86"/>
      <c r="M28" s="86"/>
      <c r="N28" s="86"/>
      <c r="O28" s="86"/>
      <c r="P28" s="86"/>
      <c r="Q28" s="76"/>
    </row>
    <row r="29" spans="1:17">
      <c r="A29" s="76">
        <f>A27+1</f>
        <v>108</v>
      </c>
      <c r="B29" s="76"/>
      <c r="C29" s="24">
        <f>SUM(D29:P29)/13</f>
        <v>257994575</v>
      </c>
      <c r="D29" s="51">
        <v>257994575</v>
      </c>
      <c r="E29" s="51">
        <v>257994575</v>
      </c>
      <c r="F29" s="51">
        <v>257994575</v>
      </c>
      <c r="G29" s="51">
        <v>257994575</v>
      </c>
      <c r="H29" s="51">
        <v>257994575</v>
      </c>
      <c r="I29" s="51">
        <v>257994575</v>
      </c>
      <c r="J29" s="51">
        <v>257994575</v>
      </c>
      <c r="K29" s="51">
        <v>257994575</v>
      </c>
      <c r="L29" s="51">
        <v>257994575</v>
      </c>
      <c r="M29" s="51">
        <v>257994575</v>
      </c>
      <c r="N29" s="51">
        <v>257994575</v>
      </c>
      <c r="O29" s="51">
        <v>257994575</v>
      </c>
      <c r="P29" s="51">
        <v>257994575</v>
      </c>
      <c r="Q29" s="76">
        <f>A29</f>
        <v>108</v>
      </c>
    </row>
    <row r="30" spans="1:17">
      <c r="A30" s="76"/>
      <c r="B30" s="88" t="s">
        <v>1495</v>
      </c>
      <c r="C30" s="86"/>
      <c r="D30" s="86"/>
      <c r="E30" s="86"/>
      <c r="F30" s="86"/>
      <c r="G30" s="86"/>
      <c r="H30" s="86"/>
      <c r="I30" s="86"/>
      <c r="J30" s="86"/>
      <c r="K30" s="86"/>
      <c r="L30" s="86"/>
      <c r="M30" s="86"/>
      <c r="N30" s="86"/>
      <c r="O30" s="86"/>
      <c r="P30" s="86"/>
      <c r="Q30" s="76"/>
    </row>
    <row r="31" spans="1:17">
      <c r="A31" s="76">
        <f>A29+1</f>
        <v>109</v>
      </c>
      <c r="B31" s="76"/>
      <c r="C31" s="24">
        <f>SUM(D31:P31)/13</f>
        <v>-5940274.6800000006</v>
      </c>
      <c r="D31" s="51">
        <v>-5940274.6799999997</v>
      </c>
      <c r="E31" s="51">
        <v>-5940274.6799999997</v>
      </c>
      <c r="F31" s="51">
        <v>-5940274.6799999997</v>
      </c>
      <c r="G31" s="51">
        <v>-5940274.6799999997</v>
      </c>
      <c r="H31" s="51">
        <v>-5940274.6799999997</v>
      </c>
      <c r="I31" s="51">
        <v>-5940274.6799999997</v>
      </c>
      <c r="J31" s="51">
        <v>-5940274.6799999997</v>
      </c>
      <c r="K31" s="51">
        <v>-5940274.6799999997</v>
      </c>
      <c r="L31" s="51">
        <v>-5940274.6799999997</v>
      </c>
      <c r="M31" s="51">
        <v>-5940274.6799999997</v>
      </c>
      <c r="N31" s="51">
        <v>-5940274.6799999997</v>
      </c>
      <c r="O31" s="51">
        <v>-5940274.6799999997</v>
      </c>
      <c r="P31" s="51">
        <v>-5940274.6799999997</v>
      </c>
      <c r="Q31" s="76">
        <f>A31</f>
        <v>109</v>
      </c>
    </row>
    <row r="32" spans="1:17">
      <c r="A32" s="76"/>
      <c r="B32" s="88" t="s">
        <v>1254</v>
      </c>
      <c r="C32" s="86"/>
      <c r="D32" s="86"/>
      <c r="E32" s="86"/>
      <c r="F32" s="86"/>
      <c r="G32" s="86"/>
      <c r="H32" s="86"/>
      <c r="I32" s="86"/>
      <c r="J32" s="86"/>
      <c r="K32" s="86"/>
      <c r="L32" s="86"/>
      <c r="M32" s="86"/>
      <c r="N32" s="86"/>
      <c r="O32" s="86"/>
      <c r="P32" s="86"/>
      <c r="Q32" s="76"/>
    </row>
    <row r="33" spans="1:17">
      <c r="A33" s="76">
        <f>A31+1</f>
        <v>110</v>
      </c>
      <c r="B33" s="76"/>
      <c r="C33" s="24">
        <f>SUM(D33:P33)/13</f>
        <v>0</v>
      </c>
      <c r="D33" s="51">
        <v>0</v>
      </c>
      <c r="E33" s="51">
        <v>0</v>
      </c>
      <c r="F33" s="51">
        <v>0</v>
      </c>
      <c r="G33" s="51">
        <v>0</v>
      </c>
      <c r="H33" s="51">
        <v>0</v>
      </c>
      <c r="I33" s="51">
        <v>0</v>
      </c>
      <c r="J33" s="51">
        <v>0</v>
      </c>
      <c r="K33" s="51">
        <v>0</v>
      </c>
      <c r="L33" s="51">
        <v>0</v>
      </c>
      <c r="M33" s="51">
        <v>0</v>
      </c>
      <c r="N33" s="51">
        <v>0</v>
      </c>
      <c r="O33" s="51">
        <v>0</v>
      </c>
      <c r="P33" s="51">
        <v>0</v>
      </c>
      <c r="Q33" s="76">
        <f>A33</f>
        <v>110</v>
      </c>
    </row>
    <row r="34" spans="1:17">
      <c r="B34" s="88" t="s">
        <v>1651</v>
      </c>
      <c r="C34" s="531"/>
      <c r="D34" s="531"/>
      <c r="E34" s="531"/>
      <c r="F34" s="531"/>
      <c r="G34" s="531"/>
      <c r="H34" s="531"/>
      <c r="I34" s="531"/>
      <c r="J34" s="531"/>
      <c r="K34" s="531"/>
      <c r="L34" s="531"/>
      <c r="M34" s="531"/>
      <c r="N34" s="531"/>
      <c r="O34" s="531"/>
      <c r="P34" s="531"/>
      <c r="Q34" s="76"/>
    </row>
    <row r="35" spans="1:17">
      <c r="A35" s="76">
        <f>+A33+1</f>
        <v>111</v>
      </c>
      <c r="B35" s="76"/>
      <c r="C35" s="24">
        <f>SUM(D35:P35)/13</f>
        <v>27861287230.233845</v>
      </c>
      <c r="D35" s="638">
        <v>25611170422.52</v>
      </c>
      <c r="E35" s="638">
        <v>26291328878.09</v>
      </c>
      <c r="F35" s="638">
        <v>26576589489.43</v>
      </c>
      <c r="G35" s="638">
        <v>26591871822.73</v>
      </c>
      <c r="H35" s="638">
        <v>27699311934.5</v>
      </c>
      <c r="I35" s="638">
        <v>27892855625.579998</v>
      </c>
      <c r="J35" s="638">
        <v>27707788807.030003</v>
      </c>
      <c r="K35" s="638">
        <v>27984537711.73</v>
      </c>
      <c r="L35" s="638">
        <v>28181122544.68</v>
      </c>
      <c r="M35" s="638">
        <v>27973824539.839996</v>
      </c>
      <c r="N35" s="638">
        <v>29405399178.739998</v>
      </c>
      <c r="O35" s="638">
        <v>29551482161.789997</v>
      </c>
      <c r="P35" s="638">
        <v>30729450876.380001</v>
      </c>
      <c r="Q35" s="76">
        <f>A35</f>
        <v>111</v>
      </c>
    </row>
    <row r="36" spans="1:17">
      <c r="A36" s="76"/>
      <c r="B36" s="88" t="s">
        <v>288</v>
      </c>
      <c r="C36" s="86"/>
      <c r="D36" s="86"/>
      <c r="E36" s="86"/>
      <c r="F36" s="86"/>
      <c r="G36" s="86"/>
      <c r="H36" s="86"/>
      <c r="I36" s="86"/>
      <c r="J36" s="86"/>
      <c r="K36" s="86"/>
      <c r="L36" s="86"/>
      <c r="M36" s="86"/>
      <c r="N36" s="86"/>
      <c r="O36" s="86"/>
      <c r="P36" s="86"/>
      <c r="Q36" s="76"/>
    </row>
    <row r="37" spans="1:17">
      <c r="A37" s="76">
        <f>+A35+1</f>
        <v>112</v>
      </c>
      <c r="B37" s="76"/>
      <c r="C37" s="24">
        <f>SUM(D37:P37)/13</f>
        <v>382837266.72538465</v>
      </c>
      <c r="D37" s="51">
        <v>344832855.04000002</v>
      </c>
      <c r="E37" s="51">
        <v>344832855.04000002</v>
      </c>
      <c r="F37" s="51">
        <v>344832855.04000002</v>
      </c>
      <c r="G37" s="51">
        <v>344832855.04000002</v>
      </c>
      <c r="H37" s="51">
        <v>344832855.04000002</v>
      </c>
      <c r="I37" s="51">
        <v>344832855.04000002</v>
      </c>
      <c r="J37" s="51">
        <v>344832855.04000002</v>
      </c>
      <c r="K37" s="51">
        <v>344832855.04000002</v>
      </c>
      <c r="L37" s="51">
        <v>344832855.04000002</v>
      </c>
      <c r="M37" s="51">
        <v>344832855.04000002</v>
      </c>
      <c r="N37" s="51">
        <v>344832855.04000002</v>
      </c>
      <c r="O37" s="51">
        <v>344832855.04000002</v>
      </c>
      <c r="P37" s="661">
        <v>838890206.95000005</v>
      </c>
      <c r="Q37" s="76">
        <f>A37</f>
        <v>112</v>
      </c>
    </row>
    <row r="38" spans="1:17">
      <c r="A38" s="76"/>
      <c r="B38" s="88" t="s">
        <v>289</v>
      </c>
      <c r="C38" s="86"/>
      <c r="D38" s="86"/>
      <c r="E38" s="86"/>
      <c r="F38" s="86"/>
      <c r="G38" s="86"/>
      <c r="H38" s="86"/>
      <c r="I38" s="86"/>
      <c r="J38" s="86"/>
      <c r="K38" s="86"/>
      <c r="L38" s="86"/>
      <c r="M38" s="86"/>
      <c r="N38" s="86"/>
      <c r="O38" s="86"/>
      <c r="P38" s="86"/>
      <c r="Q38" s="76"/>
    </row>
    <row r="39" spans="1:17">
      <c r="A39" s="76">
        <f>A37+1</f>
        <v>113</v>
      </c>
      <c r="B39" s="76"/>
      <c r="C39" s="24">
        <f>SUM(D39:P39)/13</f>
        <v>-12295103.369999997</v>
      </c>
      <c r="D39" s="51">
        <v>-7526996.6799999997</v>
      </c>
      <c r="E39" s="51">
        <v>-7422127.1100000003</v>
      </c>
      <c r="F39" s="51">
        <v>-7317257.54</v>
      </c>
      <c r="G39" s="51">
        <v>-7212387.9699999997</v>
      </c>
      <c r="H39" s="51">
        <v>-7107518.4000000004</v>
      </c>
      <c r="I39" s="51">
        <v>-7002648.8300000001</v>
      </c>
      <c r="J39" s="51">
        <v>-12199664.620000001</v>
      </c>
      <c r="K39" s="51">
        <v>-12094795.050000001</v>
      </c>
      <c r="L39" s="51">
        <v>-11989925.48</v>
      </c>
      <c r="M39" s="51">
        <v>-24037122.84</v>
      </c>
      <c r="N39" s="51">
        <v>-23932253.27</v>
      </c>
      <c r="O39" s="51">
        <v>-23827383.699999999</v>
      </c>
      <c r="P39" s="51">
        <v>-8166262.3200000003</v>
      </c>
      <c r="Q39" s="76">
        <f>A39</f>
        <v>113</v>
      </c>
    </row>
    <row r="40" spans="1:17">
      <c r="A40" s="76"/>
      <c r="B40" s="76"/>
      <c r="C40" s="81"/>
      <c r="D40" s="81"/>
      <c r="E40" s="81"/>
      <c r="F40" s="81"/>
      <c r="G40" s="81"/>
      <c r="H40" s="81"/>
      <c r="I40" s="81"/>
      <c r="J40" s="81"/>
      <c r="K40" s="81"/>
      <c r="L40" s="81"/>
      <c r="M40" s="81"/>
      <c r="N40" s="81"/>
      <c r="O40" s="81"/>
      <c r="P40" s="81"/>
    </row>
    <row r="41" spans="1:17">
      <c r="B41" s="16" t="s">
        <v>127</v>
      </c>
    </row>
    <row r="42" spans="1:17">
      <c r="B42" s="17" t="s">
        <v>2041</v>
      </c>
      <c r="I42" s="70"/>
    </row>
    <row r="43" spans="1:17">
      <c r="B43" s="17" t="s">
        <v>2042</v>
      </c>
    </row>
    <row r="44" spans="1:17">
      <c r="B44" s="17" t="s">
        <v>2043</v>
      </c>
    </row>
    <row r="45" spans="1:17">
      <c r="B45" s="17" t="s">
        <v>2044</v>
      </c>
    </row>
    <row r="46" spans="1:17">
      <c r="B46" s="17" t="s">
        <v>2045</v>
      </c>
      <c r="C46" s="98"/>
    </row>
    <row r="47" spans="1:17">
      <c r="B47" s="17" t="s">
        <v>2046</v>
      </c>
      <c r="C47" s="98"/>
    </row>
    <row r="48" spans="1:17">
      <c r="B48" s="17" t="s">
        <v>2047</v>
      </c>
      <c r="C48" s="98"/>
    </row>
    <row r="49" spans="2:8">
      <c r="B49" s="17" t="s">
        <v>2048</v>
      </c>
      <c r="C49" s="98"/>
    </row>
    <row r="50" spans="2:8">
      <c r="B50" s="69" t="s">
        <v>1405</v>
      </c>
    </row>
    <row r="51" spans="2:8">
      <c r="B51" s="69" t="s">
        <v>1496</v>
      </c>
    </row>
    <row r="52" spans="2:8">
      <c r="B52" s="69" t="s">
        <v>1406</v>
      </c>
      <c r="H52" s="76"/>
    </row>
    <row r="53" spans="2:8">
      <c r="B53" s="69" t="s">
        <v>2049</v>
      </c>
    </row>
    <row r="54" spans="2:8">
      <c r="B54" s="69" t="s">
        <v>1407</v>
      </c>
    </row>
    <row r="55" spans="2:8">
      <c r="B55" s="69" t="s">
        <v>2050</v>
      </c>
    </row>
    <row r="56" spans="2:8">
      <c r="B56" s="69" t="s">
        <v>2051</v>
      </c>
    </row>
    <row r="57" spans="2:8">
      <c r="H57" s="448"/>
    </row>
  </sheetData>
  <mergeCells count="1">
    <mergeCell ref="B5:P5"/>
  </mergeCells>
  <printOptions horizontalCentered="1"/>
  <pageMargins left="1" right="1" top="1" bottom="1" header="0.5" footer="0.5"/>
  <pageSetup scale="35" fitToHeight="0" orientation="landscape" r:id="rId1"/>
  <headerFooter>
    <oddHeader xml:space="preserve">&amp;C&amp;"-,Bold"Pacific Gas and Electric Company
Formula Rate Model
Schedule &amp;A&amp;R&amp;10Docket No. ER19-13-000, et al- Annual Update RY2024
&amp;F
</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8CDF2E-51A9-4EE3-9FB5-853DE92D28AB}">
  <ds:schemaRefs>
    <ds:schemaRef ds:uri="http://purl.org/dc/terms/"/>
    <ds:schemaRef ds:uri="http://purl.org/dc/dcmitype/"/>
    <ds:schemaRef ds:uri="97e57212-3e02-407f-8b2d-05f7d7f19b15"/>
    <ds:schemaRef ds:uri="http://purl.org/dc/elements/1.1/"/>
    <ds:schemaRef ds:uri="http://schemas.microsoft.com/office/2006/documentManagement/types"/>
    <ds:schemaRef ds:uri="http://schemas.microsoft.com/office/infopath/2007/PartnerControls"/>
    <ds:schemaRef ds:uri="000ca74d-c1c7-4d8f-83c5-7262d4568d2b"/>
    <ds:schemaRef ds:uri="http://schemas.openxmlformats.org/package/2006/metadata/core-properties"/>
    <ds:schemaRef ds:uri="e0c7f853-b085-466f-a3cc-a09637d61b9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D4CBE4-58C8-40B6-AB6E-602FB3E1C042}">
  <ds:schemaRefs>
    <ds:schemaRef ds:uri="http://schemas.microsoft.com/sharepoint/v3/contenttype/forms"/>
  </ds:schemaRefs>
</ds:datastoreItem>
</file>

<file path=customXml/itemProps3.xml><?xml version="1.0" encoding="utf-8"?>
<ds:datastoreItem xmlns:ds="http://schemas.openxmlformats.org/officeDocument/2006/customXml" ds:itemID="{0B19714F-5950-4818-916E-3D44F8A99FE9}">
  <ds:schemaRefs>
    <ds:schemaRef ds:uri="Microsoft.SharePoint.Taxonomy.ContentTypeSync"/>
  </ds:schemaRefs>
</ds:datastoreItem>
</file>

<file path=customXml/itemProps4.xml><?xml version="1.0" encoding="utf-8"?>
<ds:datastoreItem xmlns:ds="http://schemas.openxmlformats.org/officeDocument/2006/customXml" ds:itemID="{3BDABF16-A453-4BEF-A8E1-32480A9AA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35</vt:i4>
      </vt:variant>
    </vt:vector>
  </HeadingPairs>
  <TitlesOfParts>
    <vt:vector size="73" baseType="lpstr">
      <vt:lpstr>Cover Page</vt:lpstr>
      <vt:lpstr>ToC</vt:lpstr>
      <vt:lpstr>Formatting and References</vt:lpstr>
      <vt:lpstr>1-BaseTRR</vt:lpstr>
      <vt:lpstr>2-ITRR</vt:lpstr>
      <vt:lpstr>3-True-upTRR</vt:lpstr>
      <vt:lpstr>4-ATA</vt:lpstr>
      <vt:lpstr>5-CostofCap-1</vt:lpstr>
      <vt:lpstr>5-CostofCap-2</vt:lpstr>
      <vt:lpstr>5-CostofCap-3</vt:lpstr>
      <vt:lpstr>5-CostofCap-4</vt:lpstr>
      <vt:lpstr>6-PlantJurisdiction</vt:lpstr>
      <vt:lpstr>7-PlantInService</vt:lpstr>
      <vt:lpstr>8-AbandonedPlant</vt:lpstr>
      <vt:lpstr>9-PlantAdditions</vt:lpstr>
      <vt:lpstr>10-AccDep</vt:lpstr>
      <vt:lpstr>11-Depreciation</vt:lpstr>
      <vt:lpstr>12-DepRates</vt:lpstr>
      <vt:lpstr>13-WorkCap</vt:lpstr>
      <vt:lpstr>14-ADIT</vt:lpstr>
      <vt:lpstr>15-NUC</vt:lpstr>
      <vt:lpstr>16-UnfundedReserves</vt:lpstr>
      <vt:lpstr>17-RegAssets-1</vt:lpstr>
      <vt:lpstr>17-RegAssets-2</vt:lpstr>
      <vt:lpstr>17-RegAssets-3</vt:lpstr>
      <vt:lpstr>18-OandM</vt:lpstr>
      <vt:lpstr>19-AandG</vt:lpstr>
      <vt:lpstr>20-RevenueCredits</vt:lpstr>
      <vt:lpstr>21-NPandS</vt:lpstr>
      <vt:lpstr>22-TaxRates</vt:lpstr>
      <vt:lpstr>23-RetailSGTax</vt:lpstr>
      <vt:lpstr>24-Allocators</vt:lpstr>
      <vt:lpstr>25-RFandUFactors</vt:lpstr>
      <vt:lpstr>26-WholesaleTRRs</vt:lpstr>
      <vt:lpstr>27-WholesaleRates</vt:lpstr>
      <vt:lpstr>28-GrossLoad</vt:lpstr>
      <vt:lpstr>29-RetailRates-1</vt:lpstr>
      <vt:lpstr>29-RetailRates-2</vt:lpstr>
      <vt:lpstr>'10-AccDep'!Print_Area</vt:lpstr>
      <vt:lpstr>'13-WorkCap'!Print_Area</vt:lpstr>
      <vt:lpstr>'14-ADIT'!Print_Area</vt:lpstr>
      <vt:lpstr>'15-NUC'!Print_Area</vt:lpstr>
      <vt:lpstr>'17-RegAssets-1'!Print_Area</vt:lpstr>
      <vt:lpstr>'18-OandM'!Print_Area</vt:lpstr>
      <vt:lpstr>'19-AandG'!Print_Area</vt:lpstr>
      <vt:lpstr>'20-RevenueCredits'!Print_Area</vt:lpstr>
      <vt:lpstr>'21-NPandS'!Print_Area</vt:lpstr>
      <vt:lpstr>'22-TaxRates'!Print_Area</vt:lpstr>
      <vt:lpstr>'23-RetailSGTax'!Print_Area</vt:lpstr>
      <vt:lpstr>'24-Allocators'!Print_Area</vt:lpstr>
      <vt:lpstr>'25-RFandUFactors'!Print_Area</vt:lpstr>
      <vt:lpstr>'26-WholesaleTRRs'!Print_Area</vt:lpstr>
      <vt:lpstr>'28-GrossLoad'!Print_Area</vt:lpstr>
      <vt:lpstr>'2-ITRR'!Print_Area</vt:lpstr>
      <vt:lpstr>'3-True-upTRR'!Print_Area</vt:lpstr>
      <vt:lpstr>'4-ATA'!Print_Area</vt:lpstr>
      <vt:lpstr>'5-CostofCap-1'!Print_Area</vt:lpstr>
      <vt:lpstr>'5-CostofCap-2'!Print_Area</vt:lpstr>
      <vt:lpstr>'5-CostofCap-3'!Print_Area</vt:lpstr>
      <vt:lpstr>'5-CostofCap-4'!Print_Area</vt:lpstr>
      <vt:lpstr>'6-PlantJurisdiction'!Print_Area</vt:lpstr>
      <vt:lpstr>'7-PlantInService'!Print_Area</vt:lpstr>
      <vt:lpstr>'8-AbandonedPlant'!Print_Area</vt:lpstr>
      <vt:lpstr>'Cover Page'!Print_Area</vt:lpstr>
      <vt:lpstr>'10-AccDep'!Print_Titles</vt:lpstr>
      <vt:lpstr>'11-Depreciation'!Print_Titles</vt:lpstr>
      <vt:lpstr>'13-WorkCap'!Print_Titles</vt:lpstr>
      <vt:lpstr>'14-ADIT'!Print_Titles</vt:lpstr>
      <vt:lpstr>'1-BaseTRR'!Print_Titles</vt:lpstr>
      <vt:lpstr>'3-True-upTRR'!Print_Titles</vt:lpstr>
      <vt:lpstr>'4-ATA'!Print_Titles</vt:lpstr>
      <vt:lpstr>'7-PlantInService'!Print_Titles</vt:lpstr>
      <vt:lpstr>'9-PlantAdditions'!Print_Titles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2023-11-10T17:44:03Z</dcterms:created>
  <dcterms:modified xsi:type="dcterms:W3CDTF">2023-11-30T22:30:11Z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